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polo\Documents\3. INFORMES 1712 Y 1474\SEPTIEMBRE\"/>
    </mc:Choice>
  </mc:AlternateContent>
  <bookViews>
    <workbookView xWindow="0" yWindow="0" windowWidth="28800" windowHeight="11910" tabRatio="765" firstSheet="3" activeTab="3"/>
  </bookViews>
  <sheets>
    <sheet name="Hoja2" sheetId="1" state="hidden" r:id="rId1"/>
    <sheet name="Insumos PMR" sheetId="17" r:id="rId2"/>
    <sheet name="Insumos APC APR" sheetId="18" r:id="rId3"/>
    <sheet name="Matriz Unificada de Seguimiento" sheetId="13" r:id="rId4"/>
    <sheet name="PMR" sheetId="7" r:id="rId5"/>
    <sheet name="APC" sheetId="8" r:id="rId6"/>
    <sheet name="APR" sheetId="19" r:id="rId7"/>
    <sheet name="Desplegables" sheetId="6" state="hidden" r:id="rId8"/>
  </sheets>
  <externalReferences>
    <externalReference r:id="rId9"/>
    <externalReference r:id="rId10"/>
  </externalReferences>
  <definedNames>
    <definedName name="__shared_4_5_0">IF('[1]Matriz unificada de seguimiento'!A1="CONSTANTE",AVERAGE('[1]Matriz unificada de seguimiento'!M1:P1),IF('[1]Matriz unificada de seguimiento'!A1="SUMA",SUM('[1]Matriz unificada de seguimiento'!M1:P1),0))</definedName>
    <definedName name="__shared_4_6_0">IF('[1]Matriz unificada de seguimiento'!A1="CONSTANTE",AVERAGE('[1]Matriz unificada de seguimiento'!R1:U1),IF('[1]Matriz unificada de seguimiento'!A1="SUMA",SUM('[1]Matriz unificada de seguimiento'!R1:U1),0))</definedName>
    <definedName name="__shared_5_7_0">SUM("a1:d1")</definedName>
    <definedName name="__shared_5_8_0">SUM("a1:d1")</definedName>
    <definedName name="_xlnm._FilterDatabase" localSheetId="5" hidden="1">APC!$A$1:$R$30</definedName>
    <definedName name="_xlnm._FilterDatabase" localSheetId="6" hidden="1">APR!$A$1:$R$30</definedName>
    <definedName name="_xlnm._FilterDatabase" localSheetId="3" hidden="1">'Matriz Unificada de Seguimiento'!$A$2:$BD$38</definedName>
    <definedName name="_xlnm.Print_Area" localSheetId="3">'Matriz Unificada de Seguimiento'!$A$1:$BD$35</definedName>
    <definedName name="EJE_DOS">Hoja2!$B$25:$B$30</definedName>
    <definedName name="EJE_TRES">Hoja2!$B$31:$B$40</definedName>
    <definedName name="EJE_UNO">Hoja2!$B$12:$B$24</definedName>
    <definedName name="EJES" localSheetId="3">[2]Hoja2!$B$8:$B$10</definedName>
    <definedName name="EJES">Hoja2!$B$8:$B$10</definedName>
    <definedName name="INDICADOR_UNIFICADO">Hoja2!$D$77:$D$146</definedName>
    <definedName name="LOCALIDADES" localSheetId="3">[2]Hoja2!$B$47:$B$66</definedName>
    <definedName name="LOCALIDADES">Hoja2!$B$47:$B$66</definedName>
    <definedName name="_xlnm.Print_Titles" localSheetId="3">'Matriz Unificada de Seguimiento'!$2:$2</definedName>
    <definedName name="TRES" localSheetId="6">Hoja2!#REF!</definedName>
    <definedName name="TRES" localSheetId="3">[2]Hoja2!#REF!</definedName>
    <definedName name="TRES">Hoja2!#REF!</definedName>
  </definedNames>
  <calcPr calcId="162913"/>
  <pivotCaches>
    <pivotCache cacheId="0" r:id="rId11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X35" i="13" l="1"/>
  <c r="AY35" i="13" s="1"/>
  <c r="AS35" i="13"/>
  <c r="AS24" i="13"/>
  <c r="AS25" i="13"/>
  <c r="AS28" i="13"/>
  <c r="AS22" i="13"/>
  <c r="AS31" i="13"/>
  <c r="AS36" i="13"/>
  <c r="R29" i="7"/>
  <c r="Q29" i="7"/>
  <c r="R28" i="7"/>
  <c r="Q28" i="7"/>
  <c r="R27" i="7"/>
  <c r="Q27" i="7"/>
  <c r="R26" i="7"/>
  <c r="Q26" i="7"/>
  <c r="R25" i="7"/>
  <c r="Q25" i="7"/>
  <c r="R24" i="7"/>
  <c r="Q24" i="7"/>
  <c r="R23" i="7"/>
  <c r="Q23" i="7"/>
  <c r="R22" i="7"/>
  <c r="Q22" i="7"/>
  <c r="R21" i="7"/>
  <c r="Q21" i="7"/>
  <c r="R20" i="7"/>
  <c r="Q20" i="7"/>
  <c r="R19" i="7"/>
  <c r="Q19" i="7"/>
  <c r="R18" i="7"/>
  <c r="Q18" i="7"/>
  <c r="R17" i="7"/>
  <c r="Q17" i="7"/>
  <c r="R16" i="7"/>
  <c r="Q16" i="7"/>
  <c r="R15" i="7"/>
  <c r="Q15" i="7"/>
  <c r="R14" i="7"/>
  <c r="Q14" i="7"/>
  <c r="R13" i="7"/>
  <c r="Q13" i="7"/>
  <c r="R12" i="7"/>
  <c r="Q12" i="7"/>
  <c r="R11" i="7"/>
  <c r="Q11" i="7"/>
  <c r="R10" i="7"/>
  <c r="Q10" i="7"/>
  <c r="R9" i="7"/>
  <c r="Q9" i="7"/>
  <c r="R8" i="7"/>
  <c r="Q8" i="7"/>
  <c r="R7" i="7"/>
  <c r="Q7" i="7"/>
  <c r="R6" i="7"/>
  <c r="Q6" i="7"/>
  <c r="B2" i="8"/>
  <c r="E2" i="8"/>
  <c r="H2" i="8" s="1"/>
  <c r="E3" i="8"/>
  <c r="H3" i="8" s="1"/>
  <c r="B4" i="8"/>
  <c r="B5" i="8"/>
  <c r="B7" i="8"/>
  <c r="B10" i="8"/>
  <c r="B11" i="8"/>
  <c r="B15" i="8"/>
  <c r="B17" i="8"/>
  <c r="B19" i="8"/>
  <c r="B21" i="8"/>
  <c r="B22" i="8"/>
  <c r="B25" i="8"/>
  <c r="B27" i="8"/>
  <c r="B30" i="8"/>
  <c r="E4" i="8"/>
  <c r="H4" i="8" s="1"/>
  <c r="E5" i="8"/>
  <c r="H5" i="8" s="1"/>
  <c r="E6" i="8"/>
  <c r="H6" i="8" s="1"/>
  <c r="E7" i="8"/>
  <c r="H7" i="8" s="1"/>
  <c r="E8" i="8"/>
  <c r="H8" i="8" s="1"/>
  <c r="E9" i="8"/>
  <c r="H9" i="8" s="1"/>
  <c r="E10" i="8"/>
  <c r="H10" i="8" s="1"/>
  <c r="E11" i="8"/>
  <c r="H11" i="8" s="1"/>
  <c r="E12" i="8"/>
  <c r="H12" i="8" s="1"/>
  <c r="E13" i="8"/>
  <c r="H13" i="8" s="1"/>
  <c r="E14" i="8"/>
  <c r="H14" i="8" s="1"/>
  <c r="AJ13" i="13"/>
  <c r="V13" i="13" s="1"/>
  <c r="W13" i="13" s="1"/>
  <c r="AX36" i="13"/>
  <c r="AT8" i="13"/>
  <c r="AT11" i="13"/>
  <c r="AT24" i="13"/>
  <c r="AT25" i="13"/>
  <c r="AT4" i="13"/>
  <c r="AT12" i="13"/>
  <c r="AT30" i="13"/>
  <c r="AT33" i="13"/>
  <c r="AQ26" i="13"/>
  <c r="AT26" i="13" s="1"/>
  <c r="AT27" i="13"/>
  <c r="AQ18" i="13"/>
  <c r="AT18" i="13" s="1"/>
  <c r="AR18" i="13"/>
  <c r="AT28" i="13"/>
  <c r="AT5" i="13"/>
  <c r="AR13" i="13"/>
  <c r="AT13" i="13" s="1"/>
  <c r="AQ10" i="13"/>
  <c r="AR32" i="13"/>
  <c r="AT32" i="13" s="1"/>
  <c r="AT6" i="13"/>
  <c r="AT9" i="13"/>
  <c r="AQ14" i="13"/>
  <c r="AT14" i="13" s="1"/>
  <c r="AR15" i="13"/>
  <c r="AT15" i="13"/>
  <c r="AQ16" i="13"/>
  <c r="AR16" i="13"/>
  <c r="AQ31" i="13"/>
  <c r="AR31" i="13"/>
  <c r="AT31" i="13" s="1"/>
  <c r="AT7" i="13"/>
  <c r="AQ3" i="13"/>
  <c r="AT3" i="13" s="1"/>
  <c r="AT17" i="13"/>
  <c r="AT19" i="13"/>
  <c r="AT20" i="13"/>
  <c r="AT21" i="13"/>
  <c r="AT22" i="13"/>
  <c r="AT23" i="13"/>
  <c r="AT29" i="13"/>
  <c r="AT34" i="13"/>
  <c r="AT35" i="13"/>
  <c r="AW13" i="13"/>
  <c r="AW15" i="13"/>
  <c r="AY15" i="13" s="1"/>
  <c r="AW32" i="13"/>
  <c r="AW31" i="13"/>
  <c r="AW16" i="13"/>
  <c r="AW14" i="13"/>
  <c r="AY14" i="13" s="1"/>
  <c r="AW6" i="13"/>
  <c r="AW5" i="13"/>
  <c r="E3" i="19"/>
  <c r="E4" i="19"/>
  <c r="F4" i="19" s="1"/>
  <c r="E5" i="19"/>
  <c r="F5" i="19"/>
  <c r="E6" i="19"/>
  <c r="H6" i="19" s="1"/>
  <c r="E7" i="19"/>
  <c r="E8" i="19"/>
  <c r="E9" i="19"/>
  <c r="E10" i="19"/>
  <c r="H10" i="19" s="1"/>
  <c r="E11" i="19"/>
  <c r="F11" i="19" s="1"/>
  <c r="E12" i="19"/>
  <c r="H12" i="19" s="1"/>
  <c r="E13" i="19"/>
  <c r="F13" i="19" s="1"/>
  <c r="E14" i="19"/>
  <c r="H14" i="19" s="1"/>
  <c r="E15" i="19"/>
  <c r="H15" i="19" s="1"/>
  <c r="E16" i="19"/>
  <c r="F16" i="19" s="1"/>
  <c r="E17" i="19"/>
  <c r="F17" i="19" s="1"/>
  <c r="E18" i="19"/>
  <c r="H18" i="19" s="1"/>
  <c r="E19" i="19"/>
  <c r="F19" i="19" s="1"/>
  <c r="E20" i="19"/>
  <c r="F20" i="19" s="1"/>
  <c r="E21" i="19"/>
  <c r="H21" i="19" s="1"/>
  <c r="E22" i="19"/>
  <c r="H22" i="19" s="1"/>
  <c r="E23" i="19"/>
  <c r="H23" i="19" s="1"/>
  <c r="E24" i="19"/>
  <c r="H24" i="19" s="1"/>
  <c r="E25" i="19"/>
  <c r="F25" i="19" s="1"/>
  <c r="E26" i="19"/>
  <c r="H26" i="19" s="1"/>
  <c r="E27" i="19"/>
  <c r="F27" i="19" s="1"/>
  <c r="E28" i="19"/>
  <c r="H28" i="19" s="1"/>
  <c r="E29" i="19"/>
  <c r="F29" i="19" s="1"/>
  <c r="E30" i="19"/>
  <c r="H30" i="19" s="1"/>
  <c r="E2" i="19"/>
  <c r="F2" i="19" s="1"/>
  <c r="D30" i="19"/>
  <c r="C30" i="19"/>
  <c r="B30" i="19"/>
  <c r="D29" i="19"/>
  <c r="C29" i="19"/>
  <c r="D28" i="19"/>
  <c r="C28" i="19"/>
  <c r="D27" i="19"/>
  <c r="C27" i="19"/>
  <c r="B27" i="19"/>
  <c r="D26" i="19"/>
  <c r="C26" i="19"/>
  <c r="D25" i="19"/>
  <c r="C25" i="19"/>
  <c r="B25" i="19"/>
  <c r="F24" i="19"/>
  <c r="D24" i="19"/>
  <c r="C24" i="19"/>
  <c r="F23" i="19"/>
  <c r="D23" i="19"/>
  <c r="C23" i="19"/>
  <c r="D22" i="19"/>
  <c r="C22" i="19"/>
  <c r="B22" i="19"/>
  <c r="F21" i="19"/>
  <c r="D21" i="19"/>
  <c r="C21" i="19"/>
  <c r="B21" i="19"/>
  <c r="D20" i="19"/>
  <c r="C20" i="19"/>
  <c r="H19" i="19"/>
  <c r="D19" i="19"/>
  <c r="C19" i="19"/>
  <c r="B19" i="19"/>
  <c r="D18" i="19"/>
  <c r="C18" i="19"/>
  <c r="D17" i="19"/>
  <c r="C17" i="19"/>
  <c r="B17" i="19"/>
  <c r="D16" i="19"/>
  <c r="C16" i="19"/>
  <c r="B2" i="19"/>
  <c r="B4" i="19"/>
  <c r="B5" i="19"/>
  <c r="B7" i="19"/>
  <c r="B10" i="19"/>
  <c r="B11" i="19"/>
  <c r="B15" i="19"/>
  <c r="H3" i="19"/>
  <c r="H4" i="19"/>
  <c r="H5" i="19"/>
  <c r="H7" i="19"/>
  <c r="H11" i="19"/>
  <c r="H13" i="19"/>
  <c r="D15" i="19"/>
  <c r="C15" i="19"/>
  <c r="D14" i="19"/>
  <c r="C14" i="19"/>
  <c r="D13" i="19"/>
  <c r="C13" i="19"/>
  <c r="D12" i="19"/>
  <c r="C12" i="19"/>
  <c r="D11" i="19"/>
  <c r="C11" i="19"/>
  <c r="D10" i="19"/>
  <c r="C10" i="19"/>
  <c r="D9" i="19"/>
  <c r="C9" i="19"/>
  <c r="D8" i="19"/>
  <c r="C8" i="19"/>
  <c r="F7" i="19"/>
  <c r="D7" i="19"/>
  <c r="C7" i="19"/>
  <c r="D6" i="19"/>
  <c r="C6" i="19"/>
  <c r="D5" i="19"/>
  <c r="C5" i="19"/>
  <c r="D4" i="19"/>
  <c r="C4" i="19"/>
  <c r="F3" i="19"/>
  <c r="D3" i="19"/>
  <c r="C3" i="19"/>
  <c r="D2" i="19"/>
  <c r="C2" i="19"/>
  <c r="A2" i="19"/>
  <c r="F7" i="8"/>
  <c r="E15" i="8"/>
  <c r="F15" i="8" s="1"/>
  <c r="E16" i="8"/>
  <c r="F16" i="8" s="1"/>
  <c r="E17" i="8"/>
  <c r="H17" i="8"/>
  <c r="E18" i="8"/>
  <c r="E19" i="8"/>
  <c r="H19" i="8" s="1"/>
  <c r="E20" i="8"/>
  <c r="F20" i="8" s="1"/>
  <c r="E21" i="8"/>
  <c r="H21" i="8" s="1"/>
  <c r="K11" i="8" s="1"/>
  <c r="M11" i="8" s="1"/>
  <c r="E22" i="8"/>
  <c r="H22" i="8" s="1"/>
  <c r="E23" i="8"/>
  <c r="H23" i="8" s="1"/>
  <c r="E24" i="8"/>
  <c r="H24" i="8" s="1"/>
  <c r="E25" i="8"/>
  <c r="H25" i="8" s="1"/>
  <c r="E26" i="8"/>
  <c r="E27" i="8"/>
  <c r="H27" i="8" s="1"/>
  <c r="E28" i="8"/>
  <c r="H28" i="8" s="1"/>
  <c r="E29" i="8"/>
  <c r="H29" i="8" s="1"/>
  <c r="E30" i="8"/>
  <c r="F30" i="8" s="1"/>
  <c r="C3" i="8"/>
  <c r="D3" i="8"/>
  <c r="C4" i="8"/>
  <c r="D4" i="8"/>
  <c r="C5" i="8"/>
  <c r="D5" i="8"/>
  <c r="C6" i="8"/>
  <c r="D6" i="8"/>
  <c r="C7" i="8"/>
  <c r="D7" i="8"/>
  <c r="C8" i="8"/>
  <c r="D8" i="8"/>
  <c r="C9" i="8"/>
  <c r="D9" i="8"/>
  <c r="C10" i="8"/>
  <c r="D10" i="8"/>
  <c r="C11" i="8"/>
  <c r="D11" i="8"/>
  <c r="C12" i="8"/>
  <c r="D12" i="8"/>
  <c r="C13" i="8"/>
  <c r="D13" i="8"/>
  <c r="C14" i="8"/>
  <c r="D14" i="8"/>
  <c r="C15" i="8"/>
  <c r="D15" i="8"/>
  <c r="C16" i="8"/>
  <c r="D16" i="8"/>
  <c r="C17" i="8"/>
  <c r="D17" i="8"/>
  <c r="C18" i="8"/>
  <c r="D18" i="8"/>
  <c r="C19" i="8"/>
  <c r="D19" i="8"/>
  <c r="C20" i="8"/>
  <c r="D20" i="8"/>
  <c r="C21" i="8"/>
  <c r="D21" i="8"/>
  <c r="C22" i="8"/>
  <c r="D22" i="8"/>
  <c r="C23" i="8"/>
  <c r="D23" i="8"/>
  <c r="C24" i="8"/>
  <c r="D24" i="8"/>
  <c r="C25" i="8"/>
  <c r="D25" i="8"/>
  <c r="C26" i="8"/>
  <c r="D26" i="8"/>
  <c r="C27" i="8"/>
  <c r="D27" i="8"/>
  <c r="C28" i="8"/>
  <c r="D28" i="8"/>
  <c r="C29" i="8"/>
  <c r="D29" i="8"/>
  <c r="C30" i="8"/>
  <c r="D30" i="8"/>
  <c r="C2" i="8"/>
  <c r="D2" i="8"/>
  <c r="A2" i="8"/>
  <c r="L7" i="7"/>
  <c r="M7" i="7"/>
  <c r="N7" i="7"/>
  <c r="O7" i="7"/>
  <c r="P7" i="7"/>
  <c r="L8" i="7"/>
  <c r="M8" i="7"/>
  <c r="N8" i="7"/>
  <c r="O8" i="7"/>
  <c r="P8" i="7"/>
  <c r="L9" i="7"/>
  <c r="M9" i="7"/>
  <c r="N9" i="7"/>
  <c r="O9" i="7"/>
  <c r="P9" i="7"/>
  <c r="L10" i="7"/>
  <c r="M10" i="7"/>
  <c r="N10" i="7"/>
  <c r="O10" i="7"/>
  <c r="P10" i="7"/>
  <c r="L11" i="7"/>
  <c r="M11" i="7"/>
  <c r="N11" i="7"/>
  <c r="O11" i="7"/>
  <c r="P11" i="7"/>
  <c r="L12" i="7"/>
  <c r="M12" i="7"/>
  <c r="N12" i="7"/>
  <c r="O12" i="7"/>
  <c r="P12" i="7"/>
  <c r="L13" i="7"/>
  <c r="M13" i="7"/>
  <c r="N13" i="7"/>
  <c r="O13" i="7"/>
  <c r="P13" i="7"/>
  <c r="L14" i="7"/>
  <c r="M14" i="7"/>
  <c r="N14" i="7"/>
  <c r="O14" i="7"/>
  <c r="P14" i="7"/>
  <c r="L15" i="7"/>
  <c r="M15" i="7"/>
  <c r="N15" i="7"/>
  <c r="O15" i="7"/>
  <c r="P15" i="7"/>
  <c r="L16" i="7"/>
  <c r="M16" i="7"/>
  <c r="N16" i="7"/>
  <c r="O16" i="7"/>
  <c r="P16" i="7"/>
  <c r="L17" i="7"/>
  <c r="M17" i="7"/>
  <c r="N17" i="7"/>
  <c r="O17" i="7"/>
  <c r="P17" i="7"/>
  <c r="L18" i="7"/>
  <c r="M18" i="7"/>
  <c r="N18" i="7"/>
  <c r="O18" i="7"/>
  <c r="P18" i="7"/>
  <c r="L19" i="7"/>
  <c r="M19" i="7"/>
  <c r="N19" i="7"/>
  <c r="O19" i="7"/>
  <c r="P19" i="7"/>
  <c r="L21" i="7"/>
  <c r="M21" i="7"/>
  <c r="N21" i="7"/>
  <c r="O21" i="7"/>
  <c r="P21" i="7"/>
  <c r="L22" i="7"/>
  <c r="M22" i="7"/>
  <c r="N22" i="7"/>
  <c r="O22" i="7"/>
  <c r="P22" i="7"/>
  <c r="L23" i="7"/>
  <c r="M23" i="7"/>
  <c r="N23" i="7"/>
  <c r="O23" i="7"/>
  <c r="P23" i="7"/>
  <c r="L24" i="7"/>
  <c r="M24" i="7"/>
  <c r="N24" i="7"/>
  <c r="O24" i="7"/>
  <c r="P24" i="7"/>
  <c r="L25" i="7"/>
  <c r="M25" i="7"/>
  <c r="N25" i="7"/>
  <c r="O25" i="7"/>
  <c r="P25" i="7"/>
  <c r="L26" i="7"/>
  <c r="M26" i="7"/>
  <c r="N26" i="7"/>
  <c r="O26" i="7"/>
  <c r="P26" i="7"/>
  <c r="L27" i="7"/>
  <c r="M27" i="7"/>
  <c r="N27" i="7"/>
  <c r="O27" i="7"/>
  <c r="P27" i="7"/>
  <c r="L28" i="7"/>
  <c r="M28" i="7"/>
  <c r="N28" i="7"/>
  <c r="O28" i="7"/>
  <c r="P28" i="7"/>
  <c r="L29" i="7"/>
  <c r="M29" i="7"/>
  <c r="N29" i="7"/>
  <c r="O29" i="7"/>
  <c r="P29" i="7"/>
  <c r="P6" i="7"/>
  <c r="O6" i="7"/>
  <c r="N6" i="7"/>
  <c r="M6" i="7"/>
  <c r="L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1" i="7"/>
  <c r="K22" i="7"/>
  <c r="K23" i="7"/>
  <c r="K24" i="7"/>
  <c r="K25" i="7"/>
  <c r="K26" i="7"/>
  <c r="K27" i="7"/>
  <c r="K28" i="7"/>
  <c r="K29" i="7"/>
  <c r="K6" i="7"/>
  <c r="G7" i="7"/>
  <c r="H7" i="7"/>
  <c r="I7" i="7"/>
  <c r="J7" i="7"/>
  <c r="G8" i="7"/>
  <c r="H8" i="7"/>
  <c r="I8" i="7"/>
  <c r="J8" i="7"/>
  <c r="G9" i="7"/>
  <c r="H9" i="7"/>
  <c r="I9" i="7"/>
  <c r="J9" i="7"/>
  <c r="G10" i="7"/>
  <c r="H10" i="7"/>
  <c r="I10" i="7"/>
  <c r="J10" i="7"/>
  <c r="G11" i="7"/>
  <c r="H11" i="7"/>
  <c r="F11" i="7" s="1"/>
  <c r="I11" i="7"/>
  <c r="J11" i="7"/>
  <c r="G12" i="7"/>
  <c r="H12" i="7"/>
  <c r="I12" i="7"/>
  <c r="J12" i="7"/>
  <c r="G13" i="7"/>
  <c r="H13" i="7"/>
  <c r="I13" i="7"/>
  <c r="J13" i="7"/>
  <c r="G14" i="7"/>
  <c r="H14" i="7"/>
  <c r="I14" i="7"/>
  <c r="J14" i="7"/>
  <c r="G15" i="7"/>
  <c r="H15" i="7"/>
  <c r="I15" i="7"/>
  <c r="J15" i="7"/>
  <c r="G16" i="7"/>
  <c r="H16" i="7"/>
  <c r="I16" i="7"/>
  <c r="J16" i="7"/>
  <c r="G17" i="7"/>
  <c r="H17" i="7"/>
  <c r="I17" i="7"/>
  <c r="J17" i="7"/>
  <c r="G18" i="7"/>
  <c r="H18" i="7"/>
  <c r="I18" i="7"/>
  <c r="J18" i="7"/>
  <c r="G19" i="7"/>
  <c r="H19" i="7"/>
  <c r="I19" i="7"/>
  <c r="J19" i="7"/>
  <c r="G21" i="7"/>
  <c r="H21" i="7"/>
  <c r="I21" i="7"/>
  <c r="J21" i="7"/>
  <c r="G22" i="7"/>
  <c r="H22" i="7"/>
  <c r="F22" i="7" s="1"/>
  <c r="I22" i="7"/>
  <c r="J22" i="7"/>
  <c r="G23" i="7"/>
  <c r="H23" i="7"/>
  <c r="I23" i="7"/>
  <c r="J23" i="7"/>
  <c r="G24" i="7"/>
  <c r="H24" i="7"/>
  <c r="I24" i="7"/>
  <c r="J24" i="7"/>
  <c r="G25" i="7"/>
  <c r="H25" i="7"/>
  <c r="I25" i="7"/>
  <c r="J25" i="7"/>
  <c r="G26" i="7"/>
  <c r="H26" i="7"/>
  <c r="I26" i="7"/>
  <c r="J26" i="7"/>
  <c r="G27" i="7"/>
  <c r="H27" i="7"/>
  <c r="I27" i="7"/>
  <c r="J27" i="7"/>
  <c r="G28" i="7"/>
  <c r="H28" i="7"/>
  <c r="I28" i="7"/>
  <c r="J28" i="7"/>
  <c r="G29" i="7"/>
  <c r="H29" i="7"/>
  <c r="I29" i="7"/>
  <c r="J29" i="7"/>
  <c r="H6" i="7"/>
  <c r="I6" i="7"/>
  <c r="J6" i="7"/>
  <c r="G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6" i="7"/>
  <c r="B7" i="7"/>
  <c r="C7" i="7"/>
  <c r="D7" i="7"/>
  <c r="B8" i="7"/>
  <c r="C8" i="7"/>
  <c r="D8" i="7"/>
  <c r="C9" i="7"/>
  <c r="D9" i="7"/>
  <c r="C10" i="7"/>
  <c r="D10" i="7"/>
  <c r="B11" i="7"/>
  <c r="C11" i="7"/>
  <c r="D11" i="7"/>
  <c r="B12" i="7"/>
  <c r="C12" i="7"/>
  <c r="D12" i="7"/>
  <c r="B13" i="7"/>
  <c r="C13" i="7"/>
  <c r="D13" i="7"/>
  <c r="B14" i="7"/>
  <c r="C14" i="7"/>
  <c r="D14" i="7"/>
  <c r="B15" i="7"/>
  <c r="C15" i="7"/>
  <c r="D15" i="7"/>
  <c r="B16" i="7"/>
  <c r="C16" i="7"/>
  <c r="D16" i="7"/>
  <c r="B17" i="7"/>
  <c r="C17" i="7"/>
  <c r="D17" i="7"/>
  <c r="B18" i="7"/>
  <c r="C18" i="7"/>
  <c r="D18" i="7"/>
  <c r="C19" i="7"/>
  <c r="D19" i="7"/>
  <c r="B20" i="7"/>
  <c r="C20" i="7"/>
  <c r="D20" i="7"/>
  <c r="C21" i="7"/>
  <c r="D21" i="7"/>
  <c r="B22" i="7"/>
  <c r="C22" i="7"/>
  <c r="D22" i="7"/>
  <c r="C23" i="7"/>
  <c r="D23" i="7"/>
  <c r="B24" i="7"/>
  <c r="C24" i="7"/>
  <c r="D24" i="7"/>
  <c r="B25" i="7"/>
  <c r="C25" i="7"/>
  <c r="D25" i="7"/>
  <c r="B26" i="7"/>
  <c r="C26" i="7"/>
  <c r="D26" i="7"/>
  <c r="B27" i="7"/>
  <c r="C27" i="7"/>
  <c r="D27" i="7"/>
  <c r="B28" i="7"/>
  <c r="C28" i="7"/>
  <c r="D28" i="7"/>
  <c r="C29" i="7"/>
  <c r="D29" i="7"/>
  <c r="B6" i="7"/>
  <c r="C6" i="7"/>
  <c r="D6" i="7"/>
  <c r="A7" i="7"/>
  <c r="A11" i="7"/>
  <c r="A16" i="7"/>
  <c r="A17" i="7"/>
  <c r="A26" i="7"/>
  <c r="A28" i="7"/>
  <c r="A6" i="7"/>
  <c r="A3" i="13"/>
  <c r="C3" i="13"/>
  <c r="E3" i="13"/>
  <c r="I3" i="13"/>
  <c r="R3" i="13"/>
  <c r="S3" i="13"/>
  <c r="AE3" i="13"/>
  <c r="AJ3" i="13"/>
  <c r="V3" i="13"/>
  <c r="W3" i="13" s="1"/>
  <c r="AO3" i="13"/>
  <c r="X3" i="13" s="1"/>
  <c r="Y3" i="13" s="1"/>
  <c r="AY3" i="13"/>
  <c r="A4" i="13"/>
  <c r="C4" i="13"/>
  <c r="E4" i="13"/>
  <c r="AE4" i="13"/>
  <c r="AJ4" i="13"/>
  <c r="V4" i="13" s="1"/>
  <c r="W4" i="13" s="1"/>
  <c r="AO4" i="13"/>
  <c r="X4" i="13" s="1"/>
  <c r="Y4" i="13" s="1"/>
  <c r="AY4" i="13"/>
  <c r="A5" i="13"/>
  <c r="C5" i="13"/>
  <c r="E5" i="13"/>
  <c r="I5" i="13"/>
  <c r="R5" i="13"/>
  <c r="S5" i="13"/>
  <c r="AJ5" i="13"/>
  <c r="V5" i="13" s="1"/>
  <c r="W5" i="13" s="1"/>
  <c r="AE5" i="13"/>
  <c r="AO5" i="13"/>
  <c r="X5" i="13" s="1"/>
  <c r="Y5" i="13" s="1"/>
  <c r="AY5" i="13"/>
  <c r="A6" i="13"/>
  <c r="C6" i="13"/>
  <c r="E6" i="13"/>
  <c r="I6" i="13"/>
  <c r="R6" i="13"/>
  <c r="S6" i="13"/>
  <c r="AE6" i="13"/>
  <c r="AJ6" i="13"/>
  <c r="V6" i="13" s="1"/>
  <c r="W6" i="13" s="1"/>
  <c r="AO6" i="13"/>
  <c r="X6" i="13" s="1"/>
  <c r="Y6" i="13" s="1"/>
  <c r="AY6" i="13"/>
  <c r="A7" i="13"/>
  <c r="C7" i="13"/>
  <c r="E7" i="13"/>
  <c r="I7" i="13"/>
  <c r="R7" i="13"/>
  <c r="S7" i="13"/>
  <c r="AJ7" i="13"/>
  <c r="V7" i="13" s="1"/>
  <c r="W7" i="13" s="1"/>
  <c r="AE7" i="13"/>
  <c r="AO7" i="13"/>
  <c r="X7" i="13" s="1"/>
  <c r="Y7" i="13" s="1"/>
  <c r="AY7" i="13"/>
  <c r="A8" i="13"/>
  <c r="C8" i="13"/>
  <c r="E8" i="13"/>
  <c r="I8" i="13"/>
  <c r="R8" i="13"/>
  <c r="S8" i="13"/>
  <c r="AE8" i="13"/>
  <c r="AJ8" i="13"/>
  <c r="V8" i="13" s="1"/>
  <c r="W8" i="13" s="1"/>
  <c r="AO8" i="13"/>
  <c r="X8" i="13" s="1"/>
  <c r="Y8" i="13" s="1"/>
  <c r="AY8" i="13"/>
  <c r="A9" i="13"/>
  <c r="C9" i="13"/>
  <c r="E9" i="13"/>
  <c r="I9" i="13"/>
  <c r="R9" i="13"/>
  <c r="S9" i="13"/>
  <c r="AJ9" i="13"/>
  <c r="V9" i="13" s="1"/>
  <c r="W9" i="13" s="1"/>
  <c r="AE9" i="13"/>
  <c r="AO9" i="13"/>
  <c r="X9" i="13" s="1"/>
  <c r="Y9" i="13" s="1"/>
  <c r="AY9" i="13"/>
  <c r="A10" i="13"/>
  <c r="C10" i="13"/>
  <c r="E10" i="13"/>
  <c r="I10" i="13"/>
  <c r="R10" i="13"/>
  <c r="S10" i="13"/>
  <c r="AE10" i="13"/>
  <c r="AJ10" i="13"/>
  <c r="V10" i="13" s="1"/>
  <c r="W10" i="13" s="1"/>
  <c r="AO10" i="13"/>
  <c r="X10" i="13" s="1"/>
  <c r="Y10" i="13" s="1"/>
  <c r="AV10" i="13"/>
  <c r="AY10" i="13" s="1"/>
  <c r="A11" i="13"/>
  <c r="C11" i="13"/>
  <c r="E11" i="13"/>
  <c r="I11" i="13"/>
  <c r="R11" i="13"/>
  <c r="S11" i="13"/>
  <c r="AJ11" i="13"/>
  <c r="V11" i="13" s="1"/>
  <c r="W11" i="13" s="1"/>
  <c r="AE11" i="13"/>
  <c r="AO11" i="13"/>
  <c r="X11" i="13" s="1"/>
  <c r="Y11" i="13" s="1"/>
  <c r="AY11" i="13"/>
  <c r="A12" i="13"/>
  <c r="C12" i="13"/>
  <c r="E12" i="13"/>
  <c r="AE12" i="13"/>
  <c r="AJ12" i="13"/>
  <c r="V12" i="13" s="1"/>
  <c r="W12" i="13" s="1"/>
  <c r="AO12" i="13"/>
  <c r="X12" i="13" s="1"/>
  <c r="Y12" i="13" s="1"/>
  <c r="AY12" i="13"/>
  <c r="A13" i="13"/>
  <c r="C13" i="13"/>
  <c r="E13" i="13"/>
  <c r="I13" i="13"/>
  <c r="R13" i="13"/>
  <c r="S13" i="13"/>
  <c r="AE13" i="13"/>
  <c r="AO13" i="13"/>
  <c r="X13" i="13" s="1"/>
  <c r="Y13" i="13" s="1"/>
  <c r="AY13" i="13"/>
  <c r="A14" i="13"/>
  <c r="C14" i="13"/>
  <c r="E14" i="13"/>
  <c r="I14" i="13"/>
  <c r="R14" i="13"/>
  <c r="S14" i="13"/>
  <c r="AE14" i="13"/>
  <c r="AJ14" i="13"/>
  <c r="V14" i="13" s="1"/>
  <c r="W14" i="13" s="1"/>
  <c r="AO14" i="13"/>
  <c r="X14" i="13" s="1"/>
  <c r="Y14" i="13" s="1"/>
  <c r="A15" i="13"/>
  <c r="C15" i="13"/>
  <c r="E15" i="13"/>
  <c r="I15" i="13"/>
  <c r="R15" i="13"/>
  <c r="S15" i="13"/>
  <c r="AE15" i="13"/>
  <c r="AJ15" i="13"/>
  <c r="V15" i="13" s="1"/>
  <c r="W15" i="13" s="1"/>
  <c r="AO15" i="13"/>
  <c r="X15" i="13" s="1"/>
  <c r="Y15" i="13" s="1"/>
  <c r="A16" i="13"/>
  <c r="C16" i="13"/>
  <c r="E16" i="13"/>
  <c r="I16" i="13"/>
  <c r="R16" i="13"/>
  <c r="S16" i="13"/>
  <c r="AJ16" i="13"/>
  <c r="V16" i="13" s="1"/>
  <c r="W16" i="13" s="1"/>
  <c r="AE16" i="13"/>
  <c r="AO16" i="13"/>
  <c r="X16" i="13" s="1"/>
  <c r="Y16" i="13" s="1"/>
  <c r="AV16" i="13"/>
  <c r="AY16" i="13"/>
  <c r="A17" i="13"/>
  <c r="C17" i="13"/>
  <c r="E17" i="13"/>
  <c r="I17" i="13"/>
  <c r="R17" i="13"/>
  <c r="S17" i="13"/>
  <c r="AE17" i="13"/>
  <c r="AJ17" i="13"/>
  <c r="V17" i="13" s="1"/>
  <c r="W17" i="13" s="1"/>
  <c r="AO17" i="13"/>
  <c r="X17" i="13"/>
  <c r="Y17" i="13" s="1"/>
  <c r="AY17" i="13"/>
  <c r="A18" i="13"/>
  <c r="C18" i="13"/>
  <c r="E18" i="13"/>
  <c r="I18" i="13"/>
  <c r="R18" i="13"/>
  <c r="S18" i="13"/>
  <c r="AJ18" i="13"/>
  <c r="V18" i="13" s="1"/>
  <c r="W18" i="13" s="1"/>
  <c r="AE18" i="13"/>
  <c r="AO18" i="13"/>
  <c r="X18" i="13" s="1"/>
  <c r="Y18" i="13" s="1"/>
  <c r="AY18" i="13"/>
  <c r="A19" i="13"/>
  <c r="C19" i="13"/>
  <c r="E19" i="13"/>
  <c r="I19" i="13"/>
  <c r="R19" i="13"/>
  <c r="S19" i="13"/>
  <c r="AE19" i="13"/>
  <c r="AJ19" i="13"/>
  <c r="V19" i="13" s="1"/>
  <c r="W19" i="13" s="1"/>
  <c r="AO19" i="13"/>
  <c r="X19" i="13" s="1"/>
  <c r="Y19" i="13" s="1"/>
  <c r="AY19" i="13"/>
  <c r="A20" i="13"/>
  <c r="C20" i="13"/>
  <c r="E20" i="13"/>
  <c r="I20" i="13"/>
  <c r="R20" i="13"/>
  <c r="S20" i="13"/>
  <c r="AJ20" i="13"/>
  <c r="V20" i="13"/>
  <c r="W20" i="13" s="1"/>
  <c r="AE20" i="13"/>
  <c r="AO20" i="13"/>
  <c r="X20" i="13" s="1"/>
  <c r="Y20" i="13" s="1"/>
  <c r="AY20" i="13"/>
  <c r="A21" i="13"/>
  <c r="C21" i="13"/>
  <c r="E21" i="13"/>
  <c r="I21" i="13"/>
  <c r="R21" i="13"/>
  <c r="S21" i="13"/>
  <c r="AE21" i="13"/>
  <c r="AJ21" i="13"/>
  <c r="V21" i="13" s="1"/>
  <c r="W21" i="13" s="1"/>
  <c r="AO21" i="13"/>
  <c r="X21" i="13" s="1"/>
  <c r="Y21" i="13" s="1"/>
  <c r="AY21" i="13"/>
  <c r="A22" i="13"/>
  <c r="C22" i="13"/>
  <c r="E22" i="13"/>
  <c r="I22" i="13"/>
  <c r="R22" i="13"/>
  <c r="S22" i="13"/>
  <c r="AJ22" i="13"/>
  <c r="V22" i="13" s="1"/>
  <c r="W22" i="13" s="1"/>
  <c r="AE22" i="13"/>
  <c r="AO22" i="13"/>
  <c r="X22" i="13" s="1"/>
  <c r="Y22" i="13" s="1"/>
  <c r="AY22" i="13"/>
  <c r="A23" i="13"/>
  <c r="C23" i="13"/>
  <c r="E23" i="13"/>
  <c r="I23" i="13"/>
  <c r="R23" i="13"/>
  <c r="S23" i="13"/>
  <c r="AE23" i="13"/>
  <c r="AJ23" i="13"/>
  <c r="V23" i="13" s="1"/>
  <c r="W23" i="13" s="1"/>
  <c r="AO23" i="13"/>
  <c r="X23" i="13" s="1"/>
  <c r="Y23" i="13" s="1"/>
  <c r="AY23" i="13"/>
  <c r="A24" i="13"/>
  <c r="C24" i="13"/>
  <c r="E24" i="13"/>
  <c r="I24" i="13"/>
  <c r="R24" i="13"/>
  <c r="S24" i="13"/>
  <c r="AJ24" i="13"/>
  <c r="V24" i="13" s="1"/>
  <c r="W24" i="13" s="1"/>
  <c r="AE24" i="13"/>
  <c r="AO24" i="13"/>
  <c r="X24" i="13" s="1"/>
  <c r="Y24" i="13" s="1"/>
  <c r="AV24" i="13"/>
  <c r="AY24" i="13" s="1"/>
  <c r="A25" i="13"/>
  <c r="C25" i="13"/>
  <c r="E25" i="13"/>
  <c r="I25" i="13"/>
  <c r="R25" i="13"/>
  <c r="S25" i="13"/>
  <c r="AE25" i="13"/>
  <c r="AJ25" i="13"/>
  <c r="V25" i="13" s="1"/>
  <c r="W25" i="13" s="1"/>
  <c r="AO25" i="13"/>
  <c r="X25" i="13" s="1"/>
  <c r="Y25" i="13" s="1"/>
  <c r="AV25" i="13"/>
  <c r="AY25" i="13"/>
  <c r="A26" i="13"/>
  <c r="C26" i="13"/>
  <c r="E26" i="13"/>
  <c r="I26" i="13"/>
  <c r="R26" i="13"/>
  <c r="S26" i="13"/>
  <c r="AE26" i="13"/>
  <c r="AJ26" i="13"/>
  <c r="V26" i="13" s="1"/>
  <c r="W26" i="13" s="1"/>
  <c r="AO26" i="13"/>
  <c r="X26" i="13" s="1"/>
  <c r="Y26" i="13" s="1"/>
  <c r="AY26" i="13"/>
  <c r="A27" i="13"/>
  <c r="C27" i="13"/>
  <c r="E27" i="13"/>
  <c r="I27" i="13"/>
  <c r="R27" i="13"/>
  <c r="S27" i="13"/>
  <c r="AE27" i="13"/>
  <c r="AJ27" i="13"/>
  <c r="V27" i="13" s="1"/>
  <c r="W27" i="13" s="1"/>
  <c r="AO27" i="13"/>
  <c r="X27" i="13"/>
  <c r="Y27" i="13" s="1"/>
  <c r="AY27" i="13"/>
  <c r="A28" i="13"/>
  <c r="C28" i="13"/>
  <c r="E28" i="13"/>
  <c r="I28" i="13"/>
  <c r="R28" i="13"/>
  <c r="S28" i="13"/>
  <c r="AJ28" i="13"/>
  <c r="V28" i="13" s="1"/>
  <c r="W28" i="13" s="1"/>
  <c r="AE28" i="13"/>
  <c r="AO28" i="13"/>
  <c r="X28" i="13" s="1"/>
  <c r="Y28" i="13" s="1"/>
  <c r="AY28" i="13"/>
  <c r="A29" i="13"/>
  <c r="C29" i="13"/>
  <c r="E29" i="13"/>
  <c r="I29" i="13"/>
  <c r="R29" i="13"/>
  <c r="S29" i="13"/>
  <c r="AE29" i="13"/>
  <c r="AJ29" i="13"/>
  <c r="V29" i="13" s="1"/>
  <c r="W29" i="13" s="1"/>
  <c r="AO29" i="13"/>
  <c r="X29" i="13" s="1"/>
  <c r="Y29" i="13" s="1"/>
  <c r="AY29" i="13"/>
  <c r="A30" i="13"/>
  <c r="C30" i="13"/>
  <c r="E30" i="13"/>
  <c r="AJ30" i="13"/>
  <c r="V30" i="13" s="1"/>
  <c r="W30" i="13" s="1"/>
  <c r="AE30" i="13"/>
  <c r="AO30" i="13"/>
  <c r="X30" i="13" s="1"/>
  <c r="Y30" i="13" s="1"/>
  <c r="AY30" i="13"/>
  <c r="A31" i="13"/>
  <c r="C31" i="13"/>
  <c r="E31" i="13"/>
  <c r="I31" i="13"/>
  <c r="R31" i="13"/>
  <c r="S31" i="13"/>
  <c r="AE31" i="13"/>
  <c r="AJ31" i="13"/>
  <c r="V31" i="13" s="1"/>
  <c r="W31" i="13" s="1"/>
  <c r="AO31" i="13"/>
  <c r="X31" i="13" s="1"/>
  <c r="Y31" i="13" s="1"/>
  <c r="AY31" i="13"/>
  <c r="A32" i="13"/>
  <c r="C32" i="13"/>
  <c r="E32" i="13"/>
  <c r="I32" i="13"/>
  <c r="R32" i="13"/>
  <c r="S32" i="13"/>
  <c r="AE32" i="13"/>
  <c r="AJ32" i="13"/>
  <c r="V32" i="13" s="1"/>
  <c r="W32" i="13" s="1"/>
  <c r="AO32" i="13"/>
  <c r="X32" i="13" s="1"/>
  <c r="Y32" i="13" s="1"/>
  <c r="AY32" i="13"/>
  <c r="A33" i="13"/>
  <c r="C33" i="13"/>
  <c r="E33" i="13"/>
  <c r="AJ33" i="13"/>
  <c r="V33" i="13" s="1"/>
  <c r="W33" i="13" s="1"/>
  <c r="AE33" i="13"/>
  <c r="AO33" i="13"/>
  <c r="X33" i="13" s="1"/>
  <c r="Y33" i="13" s="1"/>
  <c r="AY33" i="13"/>
  <c r="A34" i="13"/>
  <c r="C34" i="13"/>
  <c r="E34" i="13"/>
  <c r="AE34" i="13"/>
  <c r="AJ34" i="13"/>
  <c r="V34" i="13" s="1"/>
  <c r="W34" i="13" s="1"/>
  <c r="AO34" i="13"/>
  <c r="X34" i="13" s="1"/>
  <c r="Y34" i="13" s="1"/>
  <c r="AY34" i="13"/>
  <c r="A35" i="13"/>
  <c r="C35" i="13"/>
  <c r="E35" i="13"/>
  <c r="AE35" i="13"/>
  <c r="AJ35" i="13"/>
  <c r="V35" i="13" s="1"/>
  <c r="W35" i="13" s="1"/>
  <c r="AO35" i="13"/>
  <c r="X35" i="13" s="1"/>
  <c r="Y35" i="13" s="1"/>
  <c r="AP36" i="13"/>
  <c r="AP38" i="13" s="1"/>
  <c r="AQ36" i="13"/>
  <c r="AQ38" i="13" s="1"/>
  <c r="AR36" i="13"/>
  <c r="AR38" i="13" s="1"/>
  <c r="AU36" i="13"/>
  <c r="AU38" i="13" s="1"/>
  <c r="AV36" i="13"/>
  <c r="AV38" i="13" s="1"/>
  <c r="AW36" i="13"/>
  <c r="AW38" i="13" s="1"/>
  <c r="F4" i="8"/>
  <c r="H18" i="8"/>
  <c r="H20" i="8"/>
  <c r="H26" i="8"/>
  <c r="H30" i="8"/>
  <c r="F10" i="8"/>
  <c r="F12" i="8"/>
  <c r="F17" i="8"/>
  <c r="F18" i="8"/>
  <c r="F22" i="8"/>
  <c r="F26" i="8"/>
  <c r="F6" i="7"/>
  <c r="F24" i="8"/>
  <c r="F6" i="8"/>
  <c r="F28" i="19"/>
  <c r="F13" i="8"/>
  <c r="F19" i="7"/>
  <c r="F6" i="19"/>
  <c r="H29" i="19"/>
  <c r="H25" i="19"/>
  <c r="H27" i="19" l="1"/>
  <c r="F12" i="19"/>
  <c r="F27" i="7"/>
  <c r="AT16" i="13"/>
  <c r="K12" i="19"/>
  <c r="M12" i="19" s="1"/>
  <c r="K15" i="8"/>
  <c r="M15" i="8" s="1"/>
  <c r="F14" i="19"/>
  <c r="F29" i="8"/>
  <c r="H16" i="8"/>
  <c r="F29" i="7"/>
  <c r="F23" i="7"/>
  <c r="F16" i="7"/>
  <c r="F28" i="7"/>
  <c r="F26" i="7"/>
  <c r="F21" i="7"/>
  <c r="F18" i="7"/>
  <c r="F14" i="7"/>
  <c r="F13" i="7"/>
  <c r="F26" i="19"/>
  <c r="F27" i="8"/>
  <c r="F28" i="8"/>
  <c r="F23" i="8"/>
  <c r="F19" i="8"/>
  <c r="F8" i="7"/>
  <c r="F7" i="7"/>
  <c r="K14" i="8"/>
  <c r="M14" i="8" s="1"/>
  <c r="K12" i="8"/>
  <c r="M12" i="8" s="1"/>
  <c r="K13" i="19"/>
  <c r="M13" i="19" s="1"/>
  <c r="F30" i="19"/>
  <c r="F10" i="19"/>
  <c r="K10" i="8"/>
  <c r="M10" i="8" s="1"/>
  <c r="F9" i="8"/>
  <c r="F18" i="19"/>
  <c r="F21" i="8"/>
  <c r="F14" i="8"/>
  <c r="F11" i="8"/>
  <c r="F8" i="8"/>
  <c r="F5" i="8"/>
  <c r="F3" i="8"/>
  <c r="F15" i="7"/>
  <c r="F12" i="7"/>
  <c r="F9" i="7"/>
  <c r="K7" i="19"/>
  <c r="M7" i="19" s="1"/>
  <c r="H16" i="19"/>
  <c r="K8" i="19" s="1"/>
  <c r="M8" i="19" s="1"/>
  <c r="H17" i="19"/>
  <c r="K9" i="19" s="1"/>
  <c r="M9" i="19" s="1"/>
  <c r="K4" i="19"/>
  <c r="M4" i="19" s="1"/>
  <c r="F17" i="7"/>
  <c r="F9" i="19"/>
  <c r="H9" i="19"/>
  <c r="K3" i="8"/>
  <c r="M3" i="8" s="1"/>
  <c r="K4" i="8"/>
  <c r="M4" i="8" s="1"/>
  <c r="K5" i="8"/>
  <c r="M5" i="8" s="1"/>
  <c r="K6" i="8"/>
  <c r="M6" i="8" s="1"/>
  <c r="K7" i="8"/>
  <c r="M7" i="8" s="1"/>
  <c r="K2" i="8"/>
  <c r="M2" i="8" s="1"/>
  <c r="K15" i="19"/>
  <c r="M15" i="19" s="1"/>
  <c r="K11" i="19"/>
  <c r="M11" i="19" s="1"/>
  <c r="K3" i="19"/>
  <c r="M3" i="19" s="1"/>
  <c r="K6" i="19"/>
  <c r="M6" i="19" s="1"/>
  <c r="K14" i="19"/>
  <c r="M14" i="19" s="1"/>
  <c r="F22" i="19"/>
  <c r="K9" i="8"/>
  <c r="M9" i="8" s="1"/>
  <c r="K13" i="8"/>
  <c r="M13" i="8" s="1"/>
  <c r="F25" i="8"/>
  <c r="H15" i="8"/>
  <c r="K8" i="8" s="1"/>
  <c r="M8" i="8" s="1"/>
  <c r="F2" i="8"/>
  <c r="F15" i="19"/>
  <c r="H2" i="19"/>
  <c r="K2" i="19" s="1"/>
  <c r="M2" i="19" s="1"/>
  <c r="H20" i="19"/>
  <c r="K10" i="19" s="1"/>
  <c r="M10" i="19" s="1"/>
  <c r="H8" i="19"/>
  <c r="F8" i="19"/>
  <c r="AT10" i="13"/>
  <c r="O4" i="19" l="1"/>
  <c r="Q4" i="19" s="1"/>
  <c r="O4" i="8"/>
  <c r="Q4" i="8" s="1"/>
  <c r="O3" i="19"/>
  <c r="Q3" i="19" s="1"/>
  <c r="K5" i="19"/>
  <c r="M5" i="19" s="1"/>
  <c r="O2" i="19" s="1"/>
  <c r="Q2" i="19" s="1"/>
  <c r="O3" i="8"/>
  <c r="Q3" i="8" s="1"/>
  <c r="O2" i="8"/>
  <c r="Q2" i="8" s="1"/>
  <c r="R2" i="19" l="1"/>
  <c r="R2" i="8"/>
</calcChain>
</file>

<file path=xl/comments1.xml><?xml version="1.0" encoding="utf-8"?>
<comments xmlns="http://schemas.openxmlformats.org/spreadsheetml/2006/main">
  <authors>
    <author>JEIMY.RODRIGUEZ</author>
  </authors>
  <commentList>
    <comment ref="AF13" authorId="0" shapeId="0">
      <text>
        <r>
          <rPr>
            <b/>
            <sz val="8"/>
            <color indexed="81"/>
            <rFont val="Tahoma"/>
            <family val="2"/>
          </rPr>
          <t>JEIMY.RODRIGUEZ:</t>
        </r>
        <r>
          <rPr>
            <sz val="8"/>
            <color indexed="81"/>
            <rFont val="Tahoma"/>
            <family val="2"/>
          </rPr>
          <t xml:space="preserve">
Formaciòn</t>
        </r>
      </text>
    </comment>
  </commentList>
</comments>
</file>

<file path=xl/sharedStrings.xml><?xml version="1.0" encoding="utf-8"?>
<sst xmlns="http://schemas.openxmlformats.org/spreadsheetml/2006/main" count="1413" uniqueCount="550">
  <si>
    <t>UNO</t>
  </si>
  <si>
    <t>UNA CIUDAD QUE SUPERA LA SEGREGACIÓN Y LA DISCRIMINACIÓN</t>
  </si>
  <si>
    <t>DOS</t>
  </si>
  <si>
    <t>UN TERRITORIO QUE ENFRENTA EL CAMBIO CLIMÁTICO Y SE ORDENA ALREDEDOR DEL AGUA</t>
  </si>
  <si>
    <t>TRES</t>
  </si>
  <si>
    <t>UNA BOGOTÁ QUE DEFIENDE Y FORTALECE LO PÚBLICO</t>
  </si>
  <si>
    <t>EJE_UNO</t>
  </si>
  <si>
    <t>EJE_DOS</t>
  </si>
  <si>
    <t>EJE_TRES</t>
  </si>
  <si>
    <t>Garantía del desarrollo integral de la primera infancia.</t>
  </si>
  <si>
    <t>Territorios saludables y red de salud para la vida desde la diversidad.</t>
  </si>
  <si>
    <t>Construcción de saberes. Educación inclusiva, diversa y de calidad para disfrutar y aprender desde la primera infancia.</t>
  </si>
  <si>
    <t>Bogotá Humana con igualdad de oportunidades y equidad de género para las mujeres.</t>
  </si>
  <si>
    <t>Lucha contra distintos tipos de discriminación y violencias por condición, situación, identidad, diferencia, diversidad o etapa del ciclo vital.</t>
  </si>
  <si>
    <t>Bogotá Humana, por la dignidad de las víctimas.</t>
  </si>
  <si>
    <t>Bogotá, un territorio que defiende, protege y promueve los derechos humanos.</t>
  </si>
  <si>
    <t>Ejercicio de libertades culturales y deportivas.</t>
  </si>
  <si>
    <t>Ruralidad humana.</t>
  </si>
  <si>
    <t>Ciencia, tecnología e innovación para avanzar en el desarrollo de la ciudad.</t>
  </si>
  <si>
    <t>Fortalecimiento y mejoramiento de la calidad y cobertura de los servicios públicos.</t>
  </si>
  <si>
    <t>Vivienda y hábitat humano.</t>
  </si>
  <si>
    <t>Revitalización Centro Ampliado.</t>
  </si>
  <si>
    <t>Recuperación, rehabilitación y restauración de la estructura ecológica principal y de los espacios del agua.</t>
  </si>
  <si>
    <t>Estrategia territorial frente al cambio climático.</t>
  </si>
  <si>
    <t>Movilidad Humana.</t>
  </si>
  <si>
    <t>Gestión integral de riesgos.</t>
  </si>
  <si>
    <t>Basura cero.</t>
  </si>
  <si>
    <t>Bogotá Humana ambientalmente saludable.</t>
  </si>
  <si>
    <t>Bogotá Humana participa y decide.</t>
  </si>
  <si>
    <t>Fortalecimiento de las capacidades de gestión y coordinación del nivel central y las localidades desde los territorios.</t>
  </si>
  <si>
    <t>Transparencia, probidad, lucha contra la corrupción y control social efectivo e incluyente.</t>
  </si>
  <si>
    <t>Territorios de vida y paz con prevención del delito.</t>
  </si>
  <si>
    <t>Fortalecimiento de la seguridad ciudadana.</t>
  </si>
  <si>
    <t>Bogotá, ciudad de memoria, paz y reconciliación.</t>
  </si>
  <si>
    <t>Bogotá decide y protege el derecho fundamental a la salud de los intereses del  mercado y la corrupción.</t>
  </si>
  <si>
    <t>Fortalecimiento de la función administrativa y desarrollo institucional.</t>
  </si>
  <si>
    <t>Tic para gobierno digital, ciudad inteligente, y sociedad del conocimiento y del emprendimiento.</t>
  </si>
  <si>
    <t>Bogotá Humana internacional.</t>
  </si>
  <si>
    <t xml:space="preserve">USAQUÉN </t>
  </si>
  <si>
    <t>CHAPINERO</t>
  </si>
  <si>
    <t>SANTA FE</t>
  </si>
  <si>
    <t>SAN CRISTÓBAL</t>
  </si>
  <si>
    <t>USME</t>
  </si>
  <si>
    <t>TUNJUELITO</t>
  </si>
  <si>
    <t>BOSA</t>
  </si>
  <si>
    <t>KENNEDY</t>
  </si>
  <si>
    <t>FONTIBÓN</t>
  </si>
  <si>
    <t xml:space="preserve">ENGATIVA </t>
  </si>
  <si>
    <t>SUBA</t>
  </si>
  <si>
    <t>BARRIOS UNIDOS</t>
  </si>
  <si>
    <t>TEUSAQUILLO</t>
  </si>
  <si>
    <t>LOS MÁRTIRES</t>
  </si>
  <si>
    <t>ANTONIO NARIÑO</t>
  </si>
  <si>
    <t>PUENTE ARANDA</t>
  </si>
  <si>
    <t>LA CANDELARIA</t>
  </si>
  <si>
    <t>RAFAEL URIBE URIBE</t>
  </si>
  <si>
    <t>CIUDAD BOLÍVAR</t>
  </si>
  <si>
    <t>SUMAPAZ</t>
  </si>
  <si>
    <t>EJE</t>
  </si>
  <si>
    <t>PROGRAMA</t>
  </si>
  <si>
    <t>PRODUCTO</t>
  </si>
  <si>
    <t>INDICADOR UNIFICADO</t>
  </si>
  <si>
    <t>CÓDIGO</t>
  </si>
  <si>
    <t>Garantía del desarrollo integral de la infancia</t>
  </si>
  <si>
    <t>Promoción</t>
  </si>
  <si>
    <t>Personas vinculadas a acciones de promoción del buen trato</t>
  </si>
  <si>
    <t>Dotación</t>
  </si>
  <si>
    <t>Equipamientos para la atención a la primera infancia dotados</t>
  </si>
  <si>
    <t>Adecuación</t>
  </si>
  <si>
    <t>Equipamientos para la atención a la primera infancia adecuados</t>
  </si>
  <si>
    <t xml:space="preserve">Territorios saludables y red de salud para la vida desde la diversidad </t>
  </si>
  <si>
    <t>Promoción y prevención</t>
  </si>
  <si>
    <t xml:space="preserve">Personas vinculadas a acciones de promoción y prevención en salud </t>
  </si>
  <si>
    <t>Intervención</t>
  </si>
  <si>
    <t xml:space="preserve">Focos intervenidos para el control de vectores y plagas </t>
  </si>
  <si>
    <t>Ayudas técnicas</t>
  </si>
  <si>
    <t>Personas benficiadas con ayudas técnicas</t>
  </si>
  <si>
    <t>Construcción de saberes. Educación inclusiva, diversa y de calidad para disfrutar y aprender.</t>
  </si>
  <si>
    <t>Planteles educativos dotados</t>
  </si>
  <si>
    <t>Construcción de saberes. Educación inclusiva, diversa y de calidad para disfrutar y aprender</t>
  </si>
  <si>
    <t>Estudiantes vinculados a actividades extraescolares</t>
  </si>
  <si>
    <t>Personas vinculadas a programas de educación para adultos</t>
  </si>
  <si>
    <t>Personas beneficiadas con acciones de gestión para acceder a la educación superior</t>
  </si>
  <si>
    <t>Foros educativos realizados</t>
  </si>
  <si>
    <t>Número de cupos en programas de educación superior promovidos en las IED</t>
  </si>
  <si>
    <t>Número de bibliotecas locales y barriales dotadas para programas de promoción a la lectura</t>
  </si>
  <si>
    <t>Bogotá Humana con igualdad de oportunidades y equidad de género para las mujeres</t>
  </si>
  <si>
    <t>Personas vinculadas a procesos de prevención de la violencia y discriminación de género</t>
  </si>
  <si>
    <t>Lucha contra distintos tipos de discriminación y violencias por condición, situación, identidad, diferencia, diversidad o etapa del ciclo vital</t>
  </si>
  <si>
    <t>Personas vinculadas a procesos de reconocimiento de la identidad de género, orientación y diversidad sexual</t>
  </si>
  <si>
    <t>Personas vinculadas a estrategias de prevencion de las violencias, violencia intrafamiliar y la discriminación</t>
  </si>
  <si>
    <t>Centros noche dotados</t>
  </si>
  <si>
    <t>Apoyos a iniciativas</t>
  </si>
  <si>
    <t>Iniciativas juveniles apoyadas</t>
  </si>
  <si>
    <t>Subsidio</t>
  </si>
  <si>
    <t>Personas con subsidio tipo C  beneficiadas</t>
  </si>
  <si>
    <t>Bogotá, un territorio que defiende, protege y promueve los derechos humanos</t>
  </si>
  <si>
    <t>Personas vinculadas a procesos de promoción en derechos humanos</t>
  </si>
  <si>
    <t>Personas vínculadas a acciones de promoción de  rutas de acceso a la justicia formal</t>
  </si>
  <si>
    <t>Bogotá, un territorio que defiende, protege y promueve los Derechos Humanos</t>
  </si>
  <si>
    <t>Personas vinculadas a procesos de resolución alternativa de conflictos</t>
  </si>
  <si>
    <t>Ejercicio de las libertades culturales y deportivas</t>
  </si>
  <si>
    <t>Eventos</t>
  </si>
  <si>
    <t>Eventos culturales realizados</t>
  </si>
  <si>
    <t>Personas vinculadas a la oferta cultural</t>
  </si>
  <si>
    <t>Personas capacitadas en formación artística informal</t>
  </si>
  <si>
    <t>Iniciativas culturales apoyadas</t>
  </si>
  <si>
    <t>Escenarios culturales dotados</t>
  </si>
  <si>
    <t>Corredores cuturales, y/o turisticos diseñados y/o intervenidos</t>
  </si>
  <si>
    <t>Espacios recuperados o apropiados culturalmente</t>
  </si>
  <si>
    <t>Personas vinculadas a escuelas de formación deportiva</t>
  </si>
  <si>
    <t>Eventos de recreación y deporte realizados</t>
  </si>
  <si>
    <t xml:space="preserve">Personas vinculadas a la oferta recreativa y deportiva </t>
  </si>
  <si>
    <t>Iniciativas deportivas apoyadas</t>
  </si>
  <si>
    <t xml:space="preserve">Materiales y elementos para la práctica recreativa y deportiva  entregados
</t>
  </si>
  <si>
    <t>Parques vecinales intervenidos</t>
  </si>
  <si>
    <t>Parques de bolsillo intervenidos</t>
  </si>
  <si>
    <t>Construcción de parques</t>
  </si>
  <si>
    <t>Parques vecinales construidos</t>
  </si>
  <si>
    <t>Parques de bolisllo construidos</t>
  </si>
  <si>
    <t>Ruralidad humana</t>
  </si>
  <si>
    <t>Intervención de acueductos</t>
  </si>
  <si>
    <t>Metros lineales de acueducto y alcantarilladlo rural intervenidos</t>
  </si>
  <si>
    <t>Vivienda y hábitat humanos</t>
  </si>
  <si>
    <t xml:space="preserve">Personas beneficiadas con asesoría y acompañamiento en soluciones de vivienda </t>
  </si>
  <si>
    <t>Corredores ambientales diseñados y/o intervenidos</t>
  </si>
  <si>
    <t>Recuperación, rehabilitación y restauración de la estructura ecológica principal y de los espacios del agua</t>
  </si>
  <si>
    <t>Personas vinculadas en acciones para la conservación o recuperación de los espacios del agua</t>
  </si>
  <si>
    <t>Personas vinculadas a procesos de sensibilización sobre contaminación atmosférica, visual  y auditiva.</t>
  </si>
  <si>
    <t>Número de  personas vinculadas  a los procesos de  fortalecimiento de los PRAES y PROCEDAS de la localidad.</t>
  </si>
  <si>
    <t>Movilidad Humana</t>
  </si>
  <si>
    <t>Mantenimiento de vias</t>
  </si>
  <si>
    <t>Km/carril de malla vial local recuperados</t>
  </si>
  <si>
    <t>Mantenimiento vías</t>
  </si>
  <si>
    <t>Km/carril de malla vial rural recuperados</t>
  </si>
  <si>
    <t>Construcción de vias</t>
  </si>
  <si>
    <t>Km/carril de malla vial local construidos.</t>
  </si>
  <si>
    <t>Km/carril de malla vial rural construidos.</t>
  </si>
  <si>
    <t>Construcción espacio público</t>
  </si>
  <si>
    <t>m2 de espacio público  construidos.</t>
  </si>
  <si>
    <t>Mantenimiento espacio público</t>
  </si>
  <si>
    <t>m2 de espacio público recuperado</t>
  </si>
  <si>
    <t>Gestión integral de riesgos</t>
  </si>
  <si>
    <t>Porcentaje de obras para el manejo de riesgo realizadas frente a las solicitadas</t>
  </si>
  <si>
    <t>Habitantes sensibilizados en gestión local del riesgo</t>
  </si>
  <si>
    <t xml:space="preserve">Dotaciones realizadas al CLE </t>
  </si>
  <si>
    <t>Basura Cero</t>
  </si>
  <si>
    <t>Personas vinculadas a campañas de promoción de reciclaje y disposición diferenciada de residuos sólidos</t>
  </si>
  <si>
    <t>Iniciativas de aprovechamiento de residuos  apoyadas</t>
  </si>
  <si>
    <t xml:space="preserve">Bogotá humana ambientalmente saludable </t>
  </si>
  <si>
    <t>Arboles sembrados</t>
  </si>
  <si>
    <t>Número de personas beneficiadas con campañas para el manejo y cuidado de animales</t>
  </si>
  <si>
    <t>Bogotá Humana: Participa y Decide</t>
  </si>
  <si>
    <t xml:space="preserve">Personas  vinculadas a procesos de presupestos participativos </t>
  </si>
  <si>
    <t>Personas vinculadas a procesos de promoción de la política de juventud</t>
  </si>
  <si>
    <t>Salones comunales dotados</t>
  </si>
  <si>
    <t>Salones comunales construidos</t>
  </si>
  <si>
    <t>Fortalecimiento de organizaciones</t>
  </si>
  <si>
    <t>Organizaciones sociales fortalecidas para la participación</t>
  </si>
  <si>
    <t>Medios comunitarios apoyados</t>
  </si>
  <si>
    <t>Fortalecimiento de las capacidades de gestión y coordinación del nivel central y las localidades desde los territorios</t>
  </si>
  <si>
    <t>Porcentaje de solicitudes sobre inspeccción, vigilancia y control para la convivencia intervenidas frente a las solicitadas</t>
  </si>
  <si>
    <t>Personas vinculadas a la promoción de espacios para mejorar la convivencia ciudadana</t>
  </si>
  <si>
    <t>Personas vinculadas en  campañas para promover la participación social en planeación local, control social</t>
  </si>
  <si>
    <t>Territorios de vida y paz con prevención del delito</t>
  </si>
  <si>
    <t>Personas vinculadas a campañas de seguridad</t>
  </si>
  <si>
    <t>Personas vinculadas a acciones para la prevención del consumo de SPA y otras sustancias</t>
  </si>
  <si>
    <t>Personas vinculadas a  campañas de apoyo para mejorar la convivencia frente a las infracciones de control urbanístico y legal funcionamiento de los establecimientos de comercio</t>
  </si>
  <si>
    <t>Equipamiento institucional intervenido para el desarrollo de una infraestructura institucional acorde a las necesidades de la Localidad</t>
  </si>
  <si>
    <t>IDENTIFICACION DEL PROYECTO</t>
  </si>
  <si>
    <t>INDICADORES DE ESTADO DE LAS METAS</t>
  </si>
  <si>
    <t>ANUALIZACIÓN DE LA META (PROGRAMACION INICIAL)</t>
  </si>
  <si>
    <t xml:space="preserve"> EJECUCIÓN FÍSICA  DE LA META (CONTRATADO)</t>
  </si>
  <si>
    <t>EJECUCIÓN FÍSICA REAL DE LA META (ENTREGADO)</t>
  </si>
  <si>
    <t>EJECUCIÓN FINANCIERA DE LA META (COMPROMISOS)</t>
  </si>
  <si>
    <t>EJECUCIÓN FINANCIERA DE LA META (GIROS)</t>
  </si>
  <si>
    <t>VERIFICACIONES</t>
  </si>
  <si>
    <t>No.</t>
  </si>
  <si>
    <t>LOCALIDAD</t>
  </si>
  <si>
    <t>Código Eje</t>
  </si>
  <si>
    <t>Eje</t>
  </si>
  <si>
    <t>Código Programa</t>
  </si>
  <si>
    <t>Programa</t>
  </si>
  <si>
    <t>Código meta PDL</t>
  </si>
  <si>
    <t>Meta PDL</t>
  </si>
  <si>
    <t>Código Indicador</t>
  </si>
  <si>
    <t>Indicador Uificado</t>
  </si>
  <si>
    <t>No. Proyecto</t>
  </si>
  <si>
    <t>Nombre Proyecto</t>
  </si>
  <si>
    <t>Código meta proyecto</t>
  </si>
  <si>
    <t>Proceso</t>
  </si>
  <si>
    <t>Magnitud</t>
  </si>
  <si>
    <t>Unidad de Medida</t>
  </si>
  <si>
    <t>Descripción</t>
  </si>
  <si>
    <t>Sector (Seleccionar de la Lista)</t>
  </si>
  <si>
    <t>Producto</t>
  </si>
  <si>
    <t>Tipo de Meta</t>
  </si>
  <si>
    <t>Ponderación de la meta de proyecto frente a la meta del Plan</t>
  </si>
  <si>
    <t>Avance Acumulado contratado (Meta de Proyecto) %</t>
  </si>
  <si>
    <t>% AVANCE META PLAN CONSOLIDADO (contratado)</t>
  </si>
  <si>
    <t>Avance Acumulado real (Meta de Proyecto) %</t>
  </si>
  <si>
    <t>% AVANCE META PLAN CONSOLIDADO (ejecución real)</t>
  </si>
  <si>
    <t>Linea Base (PMR)</t>
  </si>
  <si>
    <t>Total</t>
  </si>
  <si>
    <t>Ejecucion fisica ACUMULADA</t>
  </si>
  <si>
    <t>Ejecucion fisica real ACUMULADA</t>
  </si>
  <si>
    <t>Total Compromisos</t>
  </si>
  <si>
    <t>Total Giros</t>
  </si>
  <si>
    <t>2015 (CONTRATADO)</t>
  </si>
  <si>
    <t>2015 (GIRADO)</t>
  </si>
  <si>
    <t>TEMAS PRIORITARIOS (Seleccionar de la lista)</t>
  </si>
  <si>
    <t>Realizar cuatro (4) Acciones de intervención (adecuación, remodelación y dotación) en equipamientos de los espacios destinados o con vocación para la atención integral a la primera infancia en la localidad durante la vigencia del plan.</t>
  </si>
  <si>
    <t>PGI: Atención complementaria dirigida a la primera infancia, sus familias, sus cuidadores y maestros de Barrios Unidos.</t>
  </si>
  <si>
    <t>Dotar y/o adecuar</t>
  </si>
  <si>
    <t>equipamentos</t>
  </si>
  <si>
    <t>para la atención integral a la primera infancia</t>
  </si>
  <si>
    <t>Suma</t>
  </si>
  <si>
    <t>PRIMERA INFANCIA Y DOTACIÓN JARDINES</t>
  </si>
  <si>
    <t>Realizar cuatro (4) actividades lúdico-pedagógicas durante la vigencia del Plan</t>
  </si>
  <si>
    <t>No agrega</t>
  </si>
  <si>
    <t>Realizar</t>
  </si>
  <si>
    <t>actividades lúdico pedagógicas</t>
  </si>
  <si>
    <t>dirigidas a los niños-as de la localidad</t>
  </si>
  <si>
    <t>Vincular a cuatro mil ochocientas (4.800) personas de todos los grupos poblacionales, ciclo vital y enfoque diferencial mediante acciones de promoción de salud durante la vigencia del plan.</t>
  </si>
  <si>
    <t>PGI: Promoción, prevención y atención en salud para los habitantes de la localidad de Barrios Unidos.</t>
  </si>
  <si>
    <t>Beneficiar</t>
  </si>
  <si>
    <t>personas en condiciones de discapacidad</t>
  </si>
  <si>
    <t>con ayudas técnicas</t>
  </si>
  <si>
    <t>OTRAS INVERSIONES</t>
  </si>
  <si>
    <t xml:space="preserve">Vincular </t>
  </si>
  <si>
    <t>personas</t>
  </si>
  <si>
    <t>a estrategias de prevención de la enfermedady promoción de la salud</t>
  </si>
  <si>
    <t>Dotar a diez (10) instituciones educativas distritales de la localidad con elementos pedagógicos y/o medios educativos durante la vigencia del plan</t>
  </si>
  <si>
    <t>PGI: Garantía del derecho a la educación con calidad de la población de Barrios Unidos.</t>
  </si>
  <si>
    <t>Dotar</t>
  </si>
  <si>
    <t>colegios  distritales de la localidad</t>
  </si>
  <si>
    <t>de acuerdo a las necesidades de cada uno</t>
  </si>
  <si>
    <t>Esta meta ya está cumplida</t>
  </si>
  <si>
    <t>Fortalecer veinte (20) instancias destinadas a la promoción, garantía y disfrute de los derechos de los jóvenes de la localidad durante la vigencia del plan.</t>
  </si>
  <si>
    <t>Fortalecer</t>
  </si>
  <si>
    <t>instancias destinadas a la promoción, garantía y disfrute de los derechos de los niños, niñas y jóvenes de la localidad</t>
  </si>
  <si>
    <t xml:space="preserve"> durante la vigencia del plan</t>
  </si>
  <si>
    <t>Vincular a cuatro mil (4000) personas pertenecientes a todos los grupos poblacionales, en acciones de prevención contra los distintos tipos de discriminación y violencias durante la vigencia del plan.</t>
  </si>
  <si>
    <t>PGI: Barrios Unidos una localidad de capacidades y oportunidades incluyentes</t>
  </si>
  <si>
    <t>Vincular</t>
  </si>
  <si>
    <t>en acciones de prevención contra los distintos tipos de discriminación y violencias</t>
  </si>
  <si>
    <t>Beneficiar a por lo menos 1000 personas mayores en condición de vulnerabilidad mediante la entrega de subsidios económicos durante la vigencia del plan</t>
  </si>
  <si>
    <t>personas mayores</t>
  </si>
  <si>
    <t>en condición de vulnerabilidad mediante la entrega de subsidios económicos</t>
  </si>
  <si>
    <t>BONOS TIPO C</t>
  </si>
  <si>
    <t>Realizar cuatro (4) acciones destinadas a fortalecer las capacidades y oportunidades de la población juvenil de la localidad durante la vigencia del plan.</t>
  </si>
  <si>
    <t>acciones</t>
  </si>
  <si>
    <t>para fortalecer las capacidades y oportunidades de la población juvenil</t>
  </si>
  <si>
    <t xml:space="preserve">Adelantar dos (2) acciones de fortalecimiento a la justicia alternativa en la localidad durante la vigencia del plan. </t>
  </si>
  <si>
    <t>PEL: Promoción y fortalecimiento de los Derechos Humanos</t>
  </si>
  <si>
    <t>Adelantar</t>
  </si>
  <si>
    <t>acciones de fortalecimiento a la justicia alternativa</t>
  </si>
  <si>
    <t>en la localidad durante la vigencia del plan</t>
  </si>
  <si>
    <t>Beneficiar a dos mil (2000) personas en procesos e iniciativas de formación, circulación, creación e investigación en arte, cultura y patrimonio durante la vigencia del plan.</t>
  </si>
  <si>
    <t>Personas capacitadas en formación informal artística, cultural y del patrimonio</t>
  </si>
  <si>
    <t>PGI: Transformación y desarrollo a través de las prácticas culturales, recreativas y deportivas en Barrios Unidos.</t>
  </si>
  <si>
    <t>en arte, cultura y patrimonio</t>
  </si>
  <si>
    <t>FORMACIÓN, EVENTOS CULTURALES y CARNAVAL</t>
  </si>
  <si>
    <t>a eventos culturales y artisticos</t>
  </si>
  <si>
    <t>a iniciativas culturales</t>
  </si>
  <si>
    <t>Vincular doce mil (12.000) personas de todos los grupos poblacionales, ciclo vital y enfoque diferencial, en actividades físicas, deportivas, recreativas y de formación durante la vigencia del plan.</t>
  </si>
  <si>
    <t>en actividades físicas, deportivas, recreativas y de formación</t>
  </si>
  <si>
    <t>Diseñar y poner en funcionamiento  una (1) ruta turística en la localidad durante la vigencia del plan</t>
  </si>
  <si>
    <t>Diseñar</t>
  </si>
  <si>
    <t>ruta turistica</t>
  </si>
  <si>
    <t>en la localidad</t>
  </si>
  <si>
    <t>Constante</t>
  </si>
  <si>
    <t>En el 2013 se implementó a través del proyecto 1067. Para el 2014 se implementa a través del contrato 066</t>
  </si>
  <si>
    <t>Adecuar y mantener por lo menos dieciséis (16) equipamientos culturales y/o parques vecinales y de bolsillo durante la vigencia del plan.</t>
  </si>
  <si>
    <t xml:space="preserve">Parques vecinales y/o de bolsillo intervenidos </t>
  </si>
  <si>
    <t>Adecuar y mantener</t>
  </si>
  <si>
    <t xml:space="preserve">equipamentos </t>
  </si>
  <si>
    <t>culturales y/o parques vecinales y de bolsillo</t>
  </si>
  <si>
    <t>MANTENIMIENTO DE PARQUES VECINALES Y DE BOLSILLO</t>
  </si>
  <si>
    <t>Realizar un (1) proceso integral para la preservación, conservación y recuperación de los cuerpos de agua  y la estructura ecológica principal de la localidad durante la vigencia del plan.</t>
  </si>
  <si>
    <t>Iniciativas ambientales y de aprovechamiento de residuos  apoyadas</t>
  </si>
  <si>
    <t>PEL: Barrios Unidos por la recuperación de los espacios de agua.</t>
  </si>
  <si>
    <t>proceso</t>
  </si>
  <si>
    <t>integral para la preservación, conservación y recuperación de los cuerpos de agua y la estructura ecológica principal de la localidad</t>
  </si>
  <si>
    <t>CUERPOS DE AGUA</t>
  </si>
  <si>
    <t>Diseñar y adecuar un (1) corredor ambiental, cultural deportivo y turístico en el territorio local durante la vigencia del plan.</t>
  </si>
  <si>
    <t>Diseñar y adecuar</t>
  </si>
  <si>
    <t>corredor</t>
  </si>
  <si>
    <t>ambiental, cultural, deportivo y turistico en el territorio local</t>
  </si>
  <si>
    <t>Esta meta se cumple a través de gestión y por medio de contratos de otros proyectos</t>
  </si>
  <si>
    <t xml:space="preserve">Adelantar un (1) proceso de articulación entre la comunidad residente, recicladores, sector comercial e industrial, población flotante, y entidades competentes para mejorar la cultura de la separación de residuos y hábitos de consumo durante la vigencia del plan. </t>
  </si>
  <si>
    <t>PGI: Cultura de la no basura</t>
  </si>
  <si>
    <t xml:space="preserve">de articulación entre la comunidad residente, recicladores, sector comercial e industrial, población flotante, y entidades competentes para mejorar la cultura de la separación de residuos y hábitos de consumo durante la vigencia del plan. </t>
  </si>
  <si>
    <t>Realizar cuatro (4) procesos de formación en temas de manejo de riesgo a los integrantes del Comité Local de Emergencias y comunidad durante la vigencia del plan.</t>
  </si>
  <si>
    <t>PGI: Fortalecimiento de la gestión del riesgo local</t>
  </si>
  <si>
    <t>procesos</t>
  </si>
  <si>
    <t>procesos de formación en temas de manejo de riesgo a los integrantes del Comité Local de Emergencias y comunidad</t>
  </si>
  <si>
    <t>MITIGACIÓN- GESTIÓN DEL RIESGO</t>
  </si>
  <si>
    <t xml:space="preserve">Realizar una (1) dotación al Comité Local de Emergencias durante la vigencia del plan. </t>
  </si>
  <si>
    <t>dotación</t>
  </si>
  <si>
    <t xml:space="preserve">al comité local de emergencias </t>
  </si>
  <si>
    <t>Mantener y/o rehabilitar setenta (70) kilómetros/carril de malla vial local durante la vigencia del Plan.</t>
  </si>
  <si>
    <t>PGI: Mejoramiento y ampliación de la malla vial y espacio público local</t>
  </si>
  <si>
    <t xml:space="preserve">Mantener </t>
  </si>
  <si>
    <t>km/carril</t>
  </si>
  <si>
    <t>de malla vial local</t>
  </si>
  <si>
    <t>MALLA VIAL LOCAL Y  ESPACIO PUBLICO</t>
  </si>
  <si>
    <t>Mantener, rehabilitar y/o construir veinte mil (20.000) metros cuadrados de espacio público local durante la vigencia del Plan.</t>
  </si>
  <si>
    <t>Rehabilitar</t>
  </si>
  <si>
    <t>m2</t>
  </si>
  <si>
    <t>de espacio público</t>
  </si>
  <si>
    <t>Fortalecer por lo menos veinte (20) instancias de participación, organizaciones sociales y Juntas de Acción Comunal durante la vigencia del plan.</t>
  </si>
  <si>
    <t>PEL: Por una participación real y decisiva.</t>
  </si>
  <si>
    <t>instancias de participación, organizaciones sociales y juntas de acción comunal</t>
  </si>
  <si>
    <t xml:space="preserve"> en forma técnica, logística y operativa para la participación ciudadana </t>
  </si>
  <si>
    <t>Apoyar una (1) estrategia con enfoque en la renovación urbana definida por las instancias de participación ciudadana durante la vigencia del Plan.</t>
  </si>
  <si>
    <t>Apoyar</t>
  </si>
  <si>
    <t>estrategia con enfoque en la renovación urbana</t>
  </si>
  <si>
    <t>definida por las instancias de participación ciudadana durante la vigencia del plan</t>
  </si>
  <si>
    <t>Esta meta se cumple a través del CRP 582</t>
  </si>
  <si>
    <t>Apoyar cuatro (4) procesos de presupuestos participativos durante la vigencia del plan.</t>
  </si>
  <si>
    <t>procesos de presupuestos participativos</t>
  </si>
  <si>
    <t>en forma técnica, logística y operativa para la participación ciudadana</t>
  </si>
  <si>
    <t>Realizar dos (2) eventos de rendición de cuentas al año.</t>
  </si>
  <si>
    <t>Acciones realizadas para la rendición de cuentas</t>
  </si>
  <si>
    <t>PEL: Alcaldía Local al Barrio</t>
  </si>
  <si>
    <t>eventos de rendición de cuentas</t>
  </si>
  <si>
    <t>Realizar veinticuatro (24) ferias locales de servicios al ciudadano durante la vigencia del plan.</t>
  </si>
  <si>
    <t xml:space="preserve">ferias locales de servicios </t>
  </si>
  <si>
    <t>de forma técnica, logística y operativa</t>
  </si>
  <si>
    <t>Vincular ochocientas (800) personas mediante  actividades de convivencia y seguridad, resolución pacífica de conflictos y solidaridad ciudadana durante la vigencia del plan.</t>
  </si>
  <si>
    <t>Personas vinculadas a la promoción de espacios y/o campañas  para mejorar la convivencia y seguridad ciudadana</t>
  </si>
  <si>
    <t>PEL: Comprometidos con la convivencia y la seguridad del territorio local</t>
  </si>
  <si>
    <t>mediante  actividades de convivencia y seguridad, resolución pacífica de conflictos y solidaridad ciudadana</t>
  </si>
  <si>
    <t>CASAS DE JUSTICIA</t>
  </si>
  <si>
    <t>Realizar una (1) campaña anual de difusión dirigida a la población local, en materia    de normatividad policiva, ambiental y urbana.</t>
  </si>
  <si>
    <t>campañas de difusión</t>
  </si>
  <si>
    <t>en materia de normatividad policiva, ambiental y urbana</t>
  </si>
  <si>
    <t>Realizar una (1) acción anual para fortalecer los planes y/o proyectos relacionados con la prevención de delitos, violencia y la conflictividad cotidiana en la localidad.</t>
  </si>
  <si>
    <t>PEL: Fortalecimiento de la seguridad local</t>
  </si>
  <si>
    <t>para fortalecer los planes y/o proyectos relacionados con la prevención de delitos, violencia y la conflictividad cotidiana en la localidad.</t>
  </si>
  <si>
    <t>Implementar anualmente una estrategia
para fortalecer la capacidad operativa de la
administración local.</t>
  </si>
  <si>
    <t>Ediles con pago de honorarios cubierto</t>
  </si>
  <si>
    <t>Fortalecimiento de la gestión y compromiso con la ética pública</t>
  </si>
  <si>
    <t>Garantizar</t>
  </si>
  <si>
    <t>por ciento</t>
  </si>
  <si>
    <t>de los honorarios de los ediles</t>
  </si>
  <si>
    <t>Estrategias realizadas de fortalecimiento institucional</t>
  </si>
  <si>
    <t>de los recursos asignados a fortalecimiento institucional</t>
  </si>
  <si>
    <t>CONTROL URBANÍSTICO- DESCONGESTIÓN</t>
  </si>
  <si>
    <t>MATRIZ</t>
  </si>
  <si>
    <t>PREDIS</t>
  </si>
  <si>
    <t>DIFERENCIA</t>
  </si>
  <si>
    <t>10. SDIS</t>
  </si>
  <si>
    <t>Selección abreviada subasta inversa</t>
  </si>
  <si>
    <t>Compraventa</t>
  </si>
  <si>
    <t>Liquidado</t>
  </si>
  <si>
    <t>Selección abreviada menor cuantía</t>
  </si>
  <si>
    <t>Aceptacion de oferta</t>
  </si>
  <si>
    <t>Contratación directa</t>
  </si>
  <si>
    <t>Resolución</t>
  </si>
  <si>
    <t>N/A</t>
  </si>
  <si>
    <t>En proceso de liquidación</t>
  </si>
  <si>
    <t>En ejecución</t>
  </si>
  <si>
    <t>Licitación pública</t>
  </si>
  <si>
    <t>Concurso de méritos</t>
  </si>
  <si>
    <t>Recolección de escombros</t>
  </si>
  <si>
    <t>Compra de vehiculos</t>
  </si>
  <si>
    <t>Apoyo logistico para el fortalecimiento administrativo</t>
  </si>
  <si>
    <t>Por iniciar</t>
  </si>
  <si>
    <t>4. EDUCACIÓN</t>
  </si>
  <si>
    <t>Consultoria / Interventoría</t>
  </si>
  <si>
    <t>7. HABITAT</t>
  </si>
  <si>
    <t>Contrato de Obra</t>
  </si>
  <si>
    <t xml:space="preserve">Contrato de prestación de servicios </t>
  </si>
  <si>
    <t xml:space="preserve">TEMAS PRIORITARIOS </t>
  </si>
  <si>
    <t>1. AMBIENTE</t>
  </si>
  <si>
    <t>2. CULTURA</t>
  </si>
  <si>
    <t>3. D. ECONÓMICO</t>
  </si>
  <si>
    <t xml:space="preserve">5. GOBIERNO </t>
  </si>
  <si>
    <t>6. PLANEACIÓN</t>
  </si>
  <si>
    <t>8. MOVILIDAD</t>
  </si>
  <si>
    <t>9. SALUD</t>
  </si>
  <si>
    <t>11. SECRETARÍA GENERAL</t>
  </si>
  <si>
    <t>12. SECRETARÍA DE LA MUJER</t>
  </si>
  <si>
    <t>Modalidad de Selección</t>
  </si>
  <si>
    <t>Adición</t>
  </si>
  <si>
    <t>Prorroga</t>
  </si>
  <si>
    <t>Adición y Prorroga</t>
  </si>
  <si>
    <t>No aplica</t>
  </si>
  <si>
    <t>Mínima Cuantía</t>
  </si>
  <si>
    <t>Tipo de Contrato</t>
  </si>
  <si>
    <t>Convenio Interadministrativo</t>
  </si>
  <si>
    <t xml:space="preserve">Convenio de Asociación </t>
  </si>
  <si>
    <t>Convenio Marco</t>
  </si>
  <si>
    <t>Acta</t>
  </si>
  <si>
    <t>Arrendamiento y adquisición de inmuebles</t>
  </si>
  <si>
    <t>Contrato de seguros</t>
  </si>
  <si>
    <t>Contrato de suministro</t>
  </si>
  <si>
    <t>Promesa de compraventas (inmuebles)</t>
  </si>
  <si>
    <t>Estado del contrato</t>
  </si>
  <si>
    <t>Anulado</t>
  </si>
  <si>
    <t>Caducado</t>
  </si>
  <si>
    <t>Suspendido</t>
  </si>
  <si>
    <t>Declaratoria de incumplimiento</t>
  </si>
  <si>
    <t>Dotacion (restringida mobiliario)</t>
  </si>
  <si>
    <t>Servicios personales</t>
  </si>
  <si>
    <t>Gestión Documental</t>
  </si>
  <si>
    <t>Seguros de metrología (pesas y medidas)</t>
  </si>
  <si>
    <t xml:space="preserve">Implementación de  puntos wifi en la localidad. </t>
  </si>
  <si>
    <t>Demoliciones</t>
  </si>
  <si>
    <t>Sistemas de calidad y mejoramiento institucional(piga)</t>
  </si>
  <si>
    <t>Infraestructura Tecnologica (lo que no se cubre con SDH)</t>
  </si>
  <si>
    <t>Fallos judiciales</t>
  </si>
  <si>
    <t>Pagos ediles</t>
  </si>
  <si>
    <t>Adquisición de equipo de intervención vial (consulta con SDH)</t>
  </si>
  <si>
    <t>SECTOR</t>
  </si>
  <si>
    <t>Protección integral a niños y niñas y adolescentes</t>
  </si>
  <si>
    <t>Adecuación , habilitación y dotación de jardines</t>
  </si>
  <si>
    <t>Promoción, prevención e intervención en salud</t>
  </si>
  <si>
    <t>Inspección, vigilancia y control(IVC) del sistema de salud</t>
  </si>
  <si>
    <t>Infraestructura y dotación escolar</t>
  </si>
  <si>
    <t>Actividades Extraescolares</t>
  </si>
  <si>
    <t>Validación Escolar</t>
  </si>
  <si>
    <t>Apoyo a la educación superior</t>
  </si>
  <si>
    <t xml:space="preserve">Espacios y procesos de participación ciudadana fortalecidos </t>
  </si>
  <si>
    <t xml:space="preserve">Personas vinculadas a procesos de reconocimiento de la identidad de género, orientación y diversidad sexual, grupo étnico y etario. </t>
  </si>
  <si>
    <t>Protección  integral a personas y familias en situación de vulneración</t>
  </si>
  <si>
    <t>Prevención, atención y gestión del conflicto en la localidad</t>
  </si>
  <si>
    <t>Espacios artísticos y culturales</t>
  </si>
  <si>
    <t>2. CULTURA Y RECREACIÓN</t>
  </si>
  <si>
    <t>Formación artística y cultural</t>
  </si>
  <si>
    <t>Infraestructura y dotación a centros artísticos y culturales</t>
  </si>
  <si>
    <t>Promoción turística y posicionamiento de la localidad como destino turístico</t>
  </si>
  <si>
    <t>Eventos y actividades recreativas y deportivas</t>
  </si>
  <si>
    <t>Materiales y elementos para la práctica recreativa y deportiva  entregados</t>
  </si>
  <si>
    <t>Parques y escenarios deportivos</t>
  </si>
  <si>
    <t>Acueductos y alcantarillados</t>
  </si>
  <si>
    <t>Personas beneficiadas con asesoría y acompañamiento en soluciones de vivienda y mejoramiento de barrios</t>
  </si>
  <si>
    <t>Regulación legalización de predios y apoyo a la vivienda</t>
  </si>
  <si>
    <t>Calidad ambiental y preservación del patrimonio natural</t>
  </si>
  <si>
    <t>Personas vinculadas en acciones para la conservación o recuperación de los espacios del agua y la protección del ambiente</t>
  </si>
  <si>
    <t>Organizaciones apoyadas para la protección del ambiente</t>
  </si>
  <si>
    <t>Sistema de información ambiental</t>
  </si>
  <si>
    <t>Espacios ambientales intervenidos</t>
  </si>
  <si>
    <t>Vías Locales</t>
  </si>
  <si>
    <t>Espacio Publico</t>
  </si>
  <si>
    <t>Dotaciones con elementos de mobiliario urbano realizadas</t>
  </si>
  <si>
    <t>Acciones realizadas para promover el uso de medios alternativos de movilidad</t>
  </si>
  <si>
    <t>Gestión para la prevención y mitigación del riesgo</t>
  </si>
  <si>
    <t xml:space="preserve">Manejo integral de residuos sólidos </t>
  </si>
  <si>
    <t xml:space="preserve">Plantación y mantenimiento de arboles, jardines y especies vegetales </t>
  </si>
  <si>
    <t>Bogotá decide y protege el derecho fundamental a la salud pública</t>
  </si>
  <si>
    <t>Personas vinculadas en exigibilidad de derecho a la salud</t>
  </si>
  <si>
    <t>Acciones realizadas para mejorar la seguridad</t>
  </si>
  <si>
    <t>Personas vinculadas en campañas para promover la participación y el control social</t>
  </si>
  <si>
    <t>Espacios para el control social</t>
  </si>
  <si>
    <t>Infraestructura para la atención de servicio al ciudadano</t>
  </si>
  <si>
    <t>Fortalecimiento institucional</t>
  </si>
  <si>
    <t>MATRIZ DE PRODUCTOS, METAS Y RESULTADOS</t>
  </si>
  <si>
    <t>ENTIDAD: 012 ALCALDIA LOCAL DE BARRIOS UNIDOS</t>
  </si>
  <si>
    <t>Sector</t>
  </si>
  <si>
    <t>Cod. Indicador</t>
  </si>
  <si>
    <t>Indicador Agregado (PMR)</t>
  </si>
  <si>
    <t>Linea Base</t>
  </si>
  <si>
    <t>Magnitud a alcanzar durante la vigencia del PDL</t>
  </si>
  <si>
    <t>Programación Anual de la Meta Plan de Desarrollo Local</t>
  </si>
  <si>
    <t xml:space="preserve"> EJECUCIÓN FÍSICA  (CONTRATADO)</t>
  </si>
  <si>
    <t>EJECUCIÓN FÍSICA REAL</t>
  </si>
  <si>
    <t>OBSERVACIONES</t>
  </si>
  <si>
    <t>Suma de Magnitud</t>
  </si>
  <si>
    <t>La meta está en terminos de número de acciones</t>
  </si>
  <si>
    <t>Le meta está en términos de número de campañas</t>
  </si>
  <si>
    <t>Cod. Eje</t>
  </si>
  <si>
    <t>Cod. Programa</t>
  </si>
  <si>
    <t>Cod. Meta Plan</t>
  </si>
  <si>
    <t>% Avance Meta Plan Consolidado (Contratado)</t>
  </si>
  <si>
    <t>Nivel de Avance (Contratado)</t>
  </si>
  <si>
    <t>Ponderador MPD en relación al Programa</t>
  </si>
  <si>
    <t>Avance Meta Plan de Desarrollo por Programa</t>
  </si>
  <si>
    <t>Avance por Programa</t>
  </si>
  <si>
    <t>Ponderación del programa respecto al Eje</t>
  </si>
  <si>
    <t>Avance por Programa respecto al Eje</t>
  </si>
  <si>
    <t>Avance por Eje</t>
  </si>
  <si>
    <t>Ponderador Eje</t>
  </si>
  <si>
    <t>Avance por Eje respecto al Plan de Desarrollo Local</t>
  </si>
  <si>
    <t>Avance Plan de Desarrollo Local (contratado)</t>
  </si>
  <si>
    <t>% Avance Meta Plan Consolidado (Ejecución real)</t>
  </si>
  <si>
    <t>Nivel de Avance (Ejecución real)</t>
  </si>
  <si>
    <t>Suma de Linea Base (PMR)</t>
  </si>
  <si>
    <t>Suma de 2013</t>
  </si>
  <si>
    <t>Suma de 2014</t>
  </si>
  <si>
    <t>Suma de 2015</t>
  </si>
  <si>
    <t>Suma de 2016</t>
  </si>
  <si>
    <t>Total general</t>
  </si>
  <si>
    <t>Valores</t>
  </si>
  <si>
    <t>Suma de 2.013</t>
  </si>
  <si>
    <t>Suma de 2.014</t>
  </si>
  <si>
    <t>Suma de 2.015</t>
  </si>
  <si>
    <t>Suma de 2.016</t>
  </si>
  <si>
    <t>Suma de 2.0132</t>
  </si>
  <si>
    <t>Suma de 2.0142</t>
  </si>
  <si>
    <t>Suma de 2.0152</t>
  </si>
  <si>
    <t>Suma de 2.0162</t>
  </si>
  <si>
    <t>La meta está en términos de %</t>
  </si>
  <si>
    <t>Suma de % AVANCE META PLAN CONSOLIDADO (contratado)</t>
  </si>
  <si>
    <t>Suma de % AVANCE META PLAN CONSOLIDADO (ejecución real)</t>
  </si>
  <si>
    <t>Avance MPD por Programa</t>
  </si>
  <si>
    <t>Avance por Eje respecto al PDL</t>
  </si>
  <si>
    <t>Avance PDL (Ejecucion real)</t>
  </si>
  <si>
    <t>Crps: 343, 344</t>
  </si>
  <si>
    <t>Crps: 289, 309, 333</t>
  </si>
  <si>
    <t>Crps: 384</t>
  </si>
  <si>
    <t>Crps: 380 No se le destinaron recursos  para la vigencia 2014</t>
  </si>
  <si>
    <t>Crps: 152, 153, 281, 285, 381, 382, 385</t>
  </si>
  <si>
    <t>Crps:  383 (100.000.000)</t>
  </si>
  <si>
    <t>Crps: 308, 339, 362, 370, 375, 460, 463, 470, 472</t>
  </si>
  <si>
    <t>Crps: 363, 373, 377, 481</t>
  </si>
  <si>
    <t>Crps: 475</t>
  </si>
  <si>
    <t>La meta en 2015 se cumple por gestión.</t>
  </si>
  <si>
    <r>
      <t xml:space="preserve">Crps: </t>
    </r>
    <r>
      <rPr>
        <sz val="11"/>
        <color rgb="FFFF0000"/>
        <rFont val="Arial Narrow"/>
        <family val="2"/>
      </rPr>
      <t>329</t>
    </r>
    <r>
      <rPr>
        <sz val="11"/>
        <color indexed="8"/>
        <rFont val="Arial Narrow"/>
        <family val="2"/>
      </rPr>
      <t xml:space="preserve"> El contrato 066 de 2014 cubre el cumplimiento de esta y otras dos metas del proyecto</t>
    </r>
  </si>
  <si>
    <r>
      <t xml:space="preserve">Crps: </t>
    </r>
    <r>
      <rPr>
        <sz val="11"/>
        <color rgb="FFFF0000"/>
        <rFont val="Arial Narrow"/>
        <family val="2"/>
      </rPr>
      <t>329.</t>
    </r>
    <r>
      <rPr>
        <sz val="11"/>
        <color indexed="8"/>
        <rFont val="Arial Narrow"/>
        <family val="2"/>
      </rPr>
      <t xml:space="preserve"> El contrato 066 de 2014 cubre el cumplimiento de esta y otras dos metas del proyecto</t>
    </r>
  </si>
  <si>
    <t xml:space="preserve">Crps:  410, 513, 521  Se anuló el contrato 120 </t>
  </si>
  <si>
    <r>
      <t>Crps: 386</t>
    </r>
    <r>
      <rPr>
        <sz val="11"/>
        <color rgb="FFFF0000"/>
        <rFont val="Arial Narrow"/>
        <family val="2"/>
      </rPr>
      <t xml:space="preserve"> (ANULACION POR 1.800.439)</t>
    </r>
  </si>
  <si>
    <t>Crps: 287, 288, 336, 512</t>
  </si>
  <si>
    <t>Crps: 280, 282, 409, 461, 464, 465, 468, 559</t>
  </si>
  <si>
    <t>Crsp: 404, 458  Parques 2014: San Migule, Doce de Octubre, Metropolis, J Vargas, Viscaya 3, Popular Norte, Parque Central, Andes, Urbanización Entre Rios y Santa Mónica</t>
  </si>
  <si>
    <t>Crps:  383 (100.000.000) Se llevó a cabo un ajuste en el avance de la meta pues inicialmente se habia reportado una cifra inflada de 187 personas beneficiadas.</t>
  </si>
  <si>
    <r>
      <t xml:space="preserve">Crps:279, 161, 327,  549, 550, </t>
    </r>
    <r>
      <rPr>
        <sz val="11"/>
        <color rgb="FFFF0000"/>
        <rFont val="Arial Narrow"/>
        <family val="2"/>
      </rPr>
      <t>471, 473</t>
    </r>
    <r>
      <rPr>
        <sz val="11"/>
        <rFont val="Arial Narrow"/>
        <family val="2"/>
      </rPr>
      <t xml:space="preserve">
 Suspendido lo de 2013</t>
    </r>
  </si>
  <si>
    <r>
      <t xml:space="preserve">Crps: 552, 553, 554, 557, </t>
    </r>
    <r>
      <rPr>
        <sz val="11"/>
        <color rgb="FFFF0000"/>
        <rFont val="Arial Narrow"/>
        <family val="2"/>
      </rPr>
      <t>471, 473</t>
    </r>
  </si>
  <si>
    <t>Observaciones frente al cumplimiento de metas 2015</t>
  </si>
  <si>
    <t>Observaciones frente al cumplimiento de metas 2016</t>
  </si>
  <si>
    <t>CRPS: 18, 238, 305</t>
  </si>
  <si>
    <t>CRPS: 16, 49</t>
  </si>
  <si>
    <t>Apoyo logistico para la rendición de cuentas. PARA EL 2014 LA RENDICIÓN DE CUENTAS SE CONTRATO A TRAVÉS DEL PYCTO 1072. En el año 2015 se ejecutò la meta por gestiòn, el reporte de avance de esta meta solo queda realizado en la MUSI y no en segplan, pues en este ùlitmo no se puede reportar avance de meta si no hay ejecuciòn de recursos.</t>
  </si>
  <si>
    <t xml:space="preserve">Se cumple a través de gestión pero el reporte solo se lleva a cabo en la MUSI pues en segplan no se deja reportar al no tener recursos relacionados. </t>
  </si>
  <si>
    <t>CRPS: 290, 298, 299, 246, 247, 356, 357, 358, 481, 482</t>
  </si>
  <si>
    <t>RESULTADO POR SECTOR (Corte a 31 de Diciembre de 2016)</t>
  </si>
  <si>
    <t>Crps: 619</t>
  </si>
  <si>
    <t>CRPS: 556</t>
  </si>
  <si>
    <t>CRPS:622</t>
  </si>
  <si>
    <t>CRPS: 30, 237, 617</t>
  </si>
  <si>
    <t>CRPS: 588</t>
  </si>
  <si>
    <t>CRPS: 5, 6, 596</t>
  </si>
  <si>
    <t>CRPS: 592</t>
  </si>
  <si>
    <t>CRPS: 624</t>
  </si>
  <si>
    <t>CRPS:19, 235, 236</t>
  </si>
  <si>
    <r>
      <t xml:space="preserve">Crps: 476, 597, </t>
    </r>
    <r>
      <rPr>
        <sz val="11"/>
        <color rgb="FFFF0000"/>
        <rFont val="Arial Narrow"/>
        <family val="2"/>
      </rPr>
      <t xml:space="preserve">553, 599 </t>
    </r>
  </si>
  <si>
    <t xml:space="preserve">Crps: 553, 599 </t>
  </si>
  <si>
    <t>CRPS: 335 (Se presentó una anulación por valor de 40.346.666)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</si>
</sst>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&quot;$&quot;* #,##0.00_-;\-&quot;$&quot;* #,##0.00_-;_-&quot;$&quot;* &quot;-&quot;??_-;_-@_-"/>
    <numFmt numFmtId="165" formatCode="_(* #,##0.00_);_(* \(#,##0.00\);_(* \-??_);_(@_)"/>
    <numFmt numFmtId="166" formatCode="_(&quot;$ &quot;* #,##0.00_);_(&quot;$ &quot;* \(#,##0.00\);_(&quot;$ &quot;* \-??_);_(@_)"/>
    <numFmt numFmtId="167" formatCode="_-* #,##0.00&quot; €&quot;_-;\-* #,##0.00&quot; €&quot;_-;_-* \-??&quot; €&quot;_-;_-@_-"/>
    <numFmt numFmtId="168" formatCode="_-&quot;$&quot;* #,##0_-;\-&quot;$&quot;* #,##0_-;_-&quot;$&quot;* &quot;-&quot;??_-;_-@_-"/>
    <numFmt numFmtId="169" formatCode="_-* #,##0_-;\-* #,##0_-;_-* \-_-;_-@_-"/>
    <numFmt numFmtId="170" formatCode="_-* #,##0.00_-;\-* #,##0.00_-;_-* \-??_-;_-@_-"/>
    <numFmt numFmtId="171" formatCode="_-* #,##0\ _€_-;\-* #,##0\ _€_-;_-* &quot;- &quot;_€_-;_-@_-"/>
    <numFmt numFmtId="172" formatCode="_-\$* #,##0.00_-;&quot;-$&quot;* #,##0.00_-;_-\$* \-??_-;_-@_-"/>
    <numFmt numFmtId="173" formatCode="_-&quot;$&quot;* #,##0.0_-;\-&quot;$&quot;* #,##0.0_-;_-&quot;$&quot;* &quot;-&quot;??_-;_-@_-"/>
  </numFmts>
  <fonts count="29" x14ac:knownFonts="1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0"/>
      <color indexed="9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2"/>
      <color indexed="9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sz val="10"/>
      <color indexed="63"/>
      <name val="Arial Narrow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1"/>
      <color rgb="FFFF0000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45"/>
        <bgColor indexed="29"/>
      </patternFill>
    </fill>
    <fill>
      <patternFill patternType="solid">
        <fgColor indexed="10"/>
        <bgColor indexed="60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3366FF"/>
        <bgColor indexed="56"/>
      </patternFill>
    </fill>
    <fill>
      <patternFill patternType="solid">
        <fgColor rgb="FF000090"/>
        <bgColor indexed="56"/>
      </patternFill>
    </fill>
    <fill>
      <patternFill patternType="solid">
        <fgColor rgb="FF00009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32"/>
      </left>
      <right style="thin">
        <color indexed="32"/>
      </right>
      <top/>
      <bottom style="thin">
        <color indexed="32"/>
      </bottom>
      <diagonal/>
    </border>
    <border>
      <left/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32"/>
      </left>
      <right style="thin">
        <color indexed="32"/>
      </right>
      <top/>
      <bottom/>
      <diagonal/>
    </border>
    <border>
      <left style="thin">
        <color indexed="32"/>
      </left>
      <right style="thin">
        <color auto="1"/>
      </right>
      <top style="thin">
        <color indexed="32"/>
      </top>
      <bottom style="thin">
        <color auto="1"/>
      </bottom>
      <diagonal/>
    </border>
    <border>
      <left style="thin">
        <color indexed="3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2">
    <xf numFmtId="0" fontId="0" fillId="0" borderId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165" fontId="20" fillId="0" borderId="0" applyFill="0" applyBorder="0" applyAlignment="0" applyProtection="0"/>
    <xf numFmtId="165" fontId="1" fillId="0" borderId="0" applyFill="0" applyBorder="0" applyAlignment="0" applyProtection="0"/>
    <xf numFmtId="166" fontId="20" fillId="0" borderId="0" applyFill="0" applyBorder="0" applyAlignment="0" applyProtection="0"/>
    <xf numFmtId="166" fontId="20" fillId="0" borderId="0" applyFill="0" applyBorder="0" applyAlignment="0" applyProtection="0"/>
    <xf numFmtId="167" fontId="1" fillId="0" borderId="0" applyFill="0" applyBorder="0" applyAlignment="0" applyProtection="0"/>
    <xf numFmtId="166" fontId="1" fillId="0" borderId="0" applyFill="0" applyBorder="0" applyAlignment="0" applyProtection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3" fillId="0" borderId="0"/>
    <xf numFmtId="0" fontId="1" fillId="0" borderId="0"/>
    <xf numFmtId="9" fontId="20" fillId="0" borderId="0" applyFill="0" applyBorder="0" applyAlignment="0" applyProtection="0"/>
    <xf numFmtId="9" fontId="20" fillId="0" borderId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9" fontId="20" fillId="0" borderId="0" applyFill="0" applyBorder="0" applyAlignment="0" applyProtection="0"/>
    <xf numFmtId="170" fontId="2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170" fontId="27" fillId="0" borderId="0"/>
    <xf numFmtId="9" fontId="27" fillId="0" borderId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20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/>
    <xf numFmtId="171" fontId="1" fillId="0" borderId="0"/>
    <xf numFmtId="0" fontId="20" fillId="0" borderId="0"/>
    <xf numFmtId="0" fontId="20" fillId="0" borderId="0">
      <alignment horizontal="left"/>
    </xf>
    <xf numFmtId="0" fontId="20" fillId="0" borderId="0"/>
    <xf numFmtId="172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9" fontId="20" fillId="0" borderId="0"/>
    <xf numFmtId="0" fontId="2" fillId="0" borderId="0"/>
    <xf numFmtId="0" fontId="2" fillId="0" borderId="0">
      <alignment horizontal="left"/>
    </xf>
    <xf numFmtId="0" fontId="20" fillId="0" borderId="0"/>
    <xf numFmtId="9" fontId="20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75">
    <xf numFmtId="0" fontId="0" fillId="0" borderId="0" xfId="0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1" fillId="0" borderId="2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0" fillId="2" borderId="0" xfId="0" applyFill="1" applyAlignment="1" applyProtection="1">
      <alignment horizontal="center" vertical="center"/>
    </xf>
    <xf numFmtId="0" fontId="1" fillId="3" borderId="2" xfId="0" applyFont="1" applyFill="1" applyBorder="1" applyAlignment="1" applyProtection="1">
      <alignment vertical="center" wrapText="1"/>
    </xf>
    <xf numFmtId="0" fontId="0" fillId="3" borderId="0" xfId="0" applyFill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0" xfId="0" applyFont="1" applyFill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/>
    </xf>
    <xf numFmtId="0" fontId="5" fillId="6" borderId="3" xfId="0" applyFont="1" applyFill="1" applyBorder="1" applyAlignment="1" applyProtection="1">
      <alignment horizontal="center" vertical="center" wrapText="1"/>
    </xf>
    <xf numFmtId="0" fontId="5" fillId="6" borderId="3" xfId="0" applyFont="1" applyFill="1" applyBorder="1" applyAlignment="1" applyProtection="1">
      <alignment vertical="center" wrapText="1"/>
    </xf>
    <xf numFmtId="0" fontId="6" fillId="0" borderId="2" xfId="0" applyFont="1" applyBorder="1" applyAlignment="1" applyProtection="1">
      <alignment vertical="center"/>
    </xf>
    <xf numFmtId="0" fontId="5" fillId="6" borderId="2" xfId="0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6" borderId="2" xfId="0" applyNumberFormat="1" applyFont="1" applyFill="1" applyBorder="1" applyAlignment="1" applyProtection="1">
      <alignment horizontal="left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vertical="center" wrapText="1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0" fillId="6" borderId="0" xfId="0" applyFill="1"/>
    <xf numFmtId="0" fontId="2" fillId="6" borderId="0" xfId="0" applyFont="1" applyFill="1"/>
    <xf numFmtId="0" fontId="12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 wrapText="1"/>
    </xf>
    <xf numFmtId="0" fontId="13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vertical="center"/>
    </xf>
    <xf numFmtId="0" fontId="0" fillId="6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6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6" borderId="2" xfId="0" applyNumberFormat="1" applyFont="1" applyFill="1" applyBorder="1" applyAlignment="1" applyProtection="1">
      <alignment horizontal="left" vertical="center" wrapText="1"/>
      <protection locked="0"/>
    </xf>
    <xf numFmtId="0" fontId="5" fillId="6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6" borderId="2" xfId="0" applyFill="1" applyBorder="1" applyAlignment="1">
      <alignment horizontal="center" vertical="center"/>
    </xf>
    <xf numFmtId="0" fontId="0" fillId="6" borderId="2" xfId="0" applyFont="1" applyFill="1" applyBorder="1" applyAlignment="1">
      <alignment horizontal="left" vertical="center"/>
    </xf>
    <xf numFmtId="0" fontId="0" fillId="6" borderId="0" xfId="0" applyFill="1" applyAlignment="1">
      <alignment horizontal="center"/>
    </xf>
    <xf numFmtId="0" fontId="0" fillId="6" borderId="2" xfId="0" applyFill="1" applyBorder="1" applyAlignment="1">
      <alignment horizontal="left" vertical="center" wrapText="1"/>
    </xf>
    <xf numFmtId="3" fontId="0" fillId="6" borderId="2" xfId="0" applyNumberForma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 wrapText="1"/>
    </xf>
    <xf numFmtId="0" fontId="18" fillId="6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 wrapText="1"/>
    </xf>
    <xf numFmtId="9" fontId="18" fillId="6" borderId="2" xfId="18" applyFont="1" applyFill="1" applyBorder="1" applyAlignment="1" applyProtection="1">
      <alignment horizontal="center" vertical="center" wrapText="1"/>
    </xf>
    <xf numFmtId="9" fontId="0" fillId="6" borderId="2" xfId="0" applyNumberFormat="1" applyFill="1" applyBorder="1" applyAlignment="1">
      <alignment horizontal="center"/>
    </xf>
    <xf numFmtId="9" fontId="18" fillId="6" borderId="2" xfId="18" applyFont="1" applyFill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  <protection locked="0"/>
    </xf>
    <xf numFmtId="9" fontId="18" fillId="6" borderId="2" xfId="18" applyFont="1" applyFill="1" applyBorder="1" applyAlignment="1" applyProtection="1">
      <alignment vertical="center"/>
    </xf>
    <xf numFmtId="9" fontId="18" fillId="6" borderId="2" xfId="0" applyNumberFormat="1" applyFont="1" applyFill="1" applyBorder="1" applyAlignment="1">
      <alignment vertical="center"/>
    </xf>
    <xf numFmtId="0" fontId="7" fillId="7" borderId="0" xfId="15" applyFont="1" applyFill="1" applyBorder="1" applyAlignment="1" applyProtection="1">
      <alignment vertical="center"/>
      <protection locked="0"/>
    </xf>
    <xf numFmtId="3" fontId="7" fillId="7" borderId="0" xfId="15" applyNumberFormat="1" applyFont="1" applyFill="1" applyBorder="1" applyAlignment="1" applyProtection="1">
      <alignment vertical="center"/>
      <protection locked="0"/>
    </xf>
    <xf numFmtId="3" fontId="7" fillId="7" borderId="0" xfId="15" applyNumberFormat="1" applyFont="1" applyFill="1" applyBorder="1" applyAlignment="1" applyProtection="1">
      <alignment horizontal="center" vertical="center"/>
      <protection locked="0"/>
    </xf>
    <xf numFmtId="9" fontId="7" fillId="7" borderId="0" xfId="19" applyFont="1" applyFill="1" applyBorder="1" applyAlignment="1" applyProtection="1">
      <alignment vertical="center"/>
      <protection locked="0"/>
    </xf>
    <xf numFmtId="0" fontId="7" fillId="7" borderId="0" xfId="15" applyFont="1" applyFill="1" applyBorder="1" applyAlignment="1" applyProtection="1">
      <alignment horizontal="center" vertical="center"/>
      <protection locked="0"/>
    </xf>
    <xf numFmtId="0" fontId="7" fillId="7" borderId="0" xfId="15" applyFont="1" applyFill="1" applyBorder="1" applyAlignment="1" applyProtection="1">
      <alignment horizontal="left" vertical="center"/>
      <protection locked="0"/>
    </xf>
    <xf numFmtId="0" fontId="7" fillId="7" borderId="0" xfId="15" applyNumberFormat="1" applyFont="1" applyFill="1" applyBorder="1" applyAlignment="1" applyProtection="1">
      <alignment horizontal="justify" vertical="center"/>
      <protection locked="0"/>
    </xf>
    <xf numFmtId="0" fontId="7" fillId="7" borderId="0" xfId="15" applyNumberFormat="1" applyFont="1" applyFill="1" applyBorder="1" applyAlignment="1" applyProtection="1">
      <alignment horizontal="center" vertical="center"/>
      <protection locked="0"/>
    </xf>
    <xf numFmtId="0" fontId="7" fillId="7" borderId="0" xfId="15" applyNumberFormat="1" applyFont="1" applyFill="1" applyBorder="1" applyAlignment="1" applyProtection="1">
      <alignment vertical="center"/>
      <protection locked="0"/>
    </xf>
    <xf numFmtId="0" fontId="7" fillId="7" borderId="0" xfId="15" applyNumberFormat="1" applyFont="1" applyFill="1" applyBorder="1" applyAlignment="1" applyProtection="1">
      <alignment horizontal="center" vertical="center"/>
    </xf>
    <xf numFmtId="3" fontId="11" fillId="7" borderId="0" xfId="15" applyNumberFormat="1" applyFont="1" applyFill="1" applyBorder="1" applyAlignment="1" applyProtection="1">
      <alignment vertical="center"/>
      <protection locked="0"/>
    </xf>
    <xf numFmtId="0" fontId="9" fillId="8" borderId="0" xfId="15" applyFont="1" applyFill="1" applyBorder="1" applyAlignment="1" applyProtection="1">
      <alignment vertical="center"/>
      <protection locked="0"/>
    </xf>
    <xf numFmtId="0" fontId="9" fillId="7" borderId="0" xfId="15" applyFont="1" applyFill="1" applyBorder="1" applyAlignment="1" applyProtection="1">
      <alignment vertical="center"/>
      <protection locked="0"/>
    </xf>
    <xf numFmtId="164" fontId="9" fillId="8" borderId="5" xfId="9" applyFont="1" applyFill="1" applyBorder="1" applyAlignment="1" applyProtection="1">
      <alignment horizontal="left" vertical="center" wrapText="1"/>
    </xf>
    <xf numFmtId="164" fontId="9" fillId="8" borderId="5" xfId="9" applyFont="1" applyFill="1" applyBorder="1" applyAlignment="1" applyProtection="1">
      <alignment horizontal="center" vertical="center" wrapText="1"/>
    </xf>
    <xf numFmtId="164" fontId="9" fillId="8" borderId="5" xfId="9" applyFont="1" applyFill="1" applyBorder="1" applyAlignment="1" applyProtection="1">
      <alignment vertical="center" wrapText="1"/>
    </xf>
    <xf numFmtId="168" fontId="9" fillId="8" borderId="5" xfId="9" applyNumberFormat="1" applyFont="1" applyFill="1" applyBorder="1" applyAlignment="1" applyProtection="1">
      <alignment vertical="center" wrapText="1"/>
    </xf>
    <xf numFmtId="3" fontId="9" fillId="8" borderId="5" xfId="15" applyNumberFormat="1" applyFont="1" applyFill="1" applyBorder="1" applyAlignment="1" applyProtection="1">
      <alignment horizontal="center" vertical="center" wrapText="1"/>
    </xf>
    <xf numFmtId="9" fontId="9" fillId="8" borderId="5" xfId="19" applyFont="1" applyFill="1" applyBorder="1" applyAlignment="1" applyProtection="1">
      <alignment horizontal="center" vertical="center" wrapText="1"/>
    </xf>
    <xf numFmtId="0" fontId="9" fillId="8" borderId="5" xfId="15" applyNumberFormat="1" applyFont="1" applyFill="1" applyBorder="1" applyAlignment="1" applyProtection="1">
      <alignment horizontal="center" vertical="center" wrapText="1"/>
    </xf>
    <xf numFmtId="0" fontId="9" fillId="8" borderId="5" xfId="15" applyNumberFormat="1" applyFont="1" applyFill="1" applyBorder="1" applyAlignment="1" applyProtection="1">
      <alignment horizontal="left" vertical="center" wrapText="1"/>
    </xf>
    <xf numFmtId="0" fontId="9" fillId="8" borderId="5" xfId="15" applyNumberFormat="1" applyFont="1" applyFill="1" applyBorder="1" applyAlignment="1" applyProtection="1">
      <alignment horizontal="center" vertical="center"/>
    </xf>
    <xf numFmtId="0" fontId="9" fillId="8" borderId="5" xfId="15" applyNumberFormat="1" applyFont="1" applyFill="1" applyBorder="1" applyAlignment="1" applyProtection="1">
      <alignment vertical="center"/>
    </xf>
    <xf numFmtId="0" fontId="9" fillId="8" borderId="5" xfId="15" applyNumberFormat="1" applyFont="1" applyFill="1" applyBorder="1" applyAlignment="1" applyProtection="1">
      <alignment horizontal="left" vertical="center"/>
    </xf>
    <xf numFmtId="3" fontId="9" fillId="8" borderId="5" xfId="15" applyNumberFormat="1" applyFont="1" applyFill="1" applyBorder="1" applyAlignment="1" applyProtection="1">
      <alignment horizontal="center" vertical="center"/>
    </xf>
    <xf numFmtId="9" fontId="9" fillId="8" borderId="5" xfId="19" applyNumberFormat="1" applyFont="1" applyFill="1" applyBorder="1" applyAlignment="1" applyProtection="1">
      <alignment horizontal="center" vertical="center" wrapText="1"/>
    </xf>
    <xf numFmtId="0" fontId="7" fillId="9" borderId="0" xfId="15" applyFont="1" applyFill="1" applyBorder="1" applyAlignment="1" applyProtection="1">
      <alignment horizontal="center" vertical="center" wrapText="1"/>
      <protection locked="0"/>
    </xf>
    <xf numFmtId="0" fontId="7" fillId="7" borderId="0" xfId="15" applyFont="1" applyFill="1" applyBorder="1" applyAlignment="1" applyProtection="1">
      <alignment horizontal="center" vertical="center" wrapText="1"/>
      <protection locked="0"/>
    </xf>
    <xf numFmtId="0" fontId="3" fillId="9" borderId="0" xfId="15" applyFont="1" applyFill="1" applyBorder="1" applyAlignment="1">
      <alignment vertical="center"/>
    </xf>
    <xf numFmtId="0" fontId="3" fillId="7" borderId="0" xfId="15" applyFont="1" applyFill="1" applyBorder="1" applyAlignment="1">
      <alignment vertical="center"/>
    </xf>
    <xf numFmtId="3" fontId="9" fillId="10" borderId="5" xfId="15" applyNumberFormat="1" applyFont="1" applyFill="1" applyBorder="1" applyAlignment="1" applyProtection="1">
      <alignment horizontal="center" vertical="center" wrapText="1"/>
    </xf>
    <xf numFmtId="0" fontId="0" fillId="0" borderId="0" xfId="0" pivotButton="1"/>
    <xf numFmtId="0" fontId="0" fillId="0" borderId="0" xfId="0" applyNumberFormat="1"/>
    <xf numFmtId="0" fontId="0" fillId="6" borderId="2" xfId="0" applyFill="1" applyBorder="1" applyAlignment="1">
      <alignment horizontal="center" vertical="center" wrapText="1"/>
    </xf>
    <xf numFmtId="0" fontId="0" fillId="6" borderId="9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0" fillId="6" borderId="10" xfId="0" applyFill="1" applyBorder="1"/>
    <xf numFmtId="0" fontId="18" fillId="6" borderId="2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center" vertical="center"/>
    </xf>
    <xf numFmtId="0" fontId="18" fillId="10" borderId="0" xfId="0" applyFont="1" applyFill="1" applyAlignment="1">
      <alignment vertical="center"/>
    </xf>
    <xf numFmtId="0" fontId="18" fillId="11" borderId="0" xfId="0" applyFont="1" applyFill="1" applyAlignment="1">
      <alignment vertical="center"/>
    </xf>
    <xf numFmtId="0" fontId="14" fillId="12" borderId="2" xfId="0" applyFont="1" applyFill="1" applyBorder="1" applyAlignment="1">
      <alignment horizontal="center" vertical="center" wrapText="1"/>
    </xf>
    <xf numFmtId="0" fontId="19" fillId="13" borderId="2" xfId="0" applyFont="1" applyFill="1" applyBorder="1" applyAlignment="1" applyProtection="1">
      <alignment horizontal="center" vertical="center" wrapText="1"/>
      <protection locked="0"/>
    </xf>
    <xf numFmtId="9" fontId="19" fillId="13" borderId="4" xfId="18" applyFont="1" applyFill="1" applyBorder="1" applyAlignment="1" applyProtection="1">
      <alignment horizontal="center" vertical="center" wrapText="1"/>
      <protection locked="0"/>
    </xf>
    <xf numFmtId="0" fontId="16" fillId="13" borderId="2" xfId="0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0" fontId="8" fillId="14" borderId="5" xfId="10" applyFont="1" applyFill="1" applyBorder="1" applyAlignment="1" applyProtection="1">
      <alignment horizontal="center" vertical="center" wrapText="1"/>
    </xf>
    <xf numFmtId="3" fontId="8" fillId="14" borderId="5" xfId="10" applyNumberFormat="1" applyFont="1" applyFill="1" applyBorder="1" applyAlignment="1" applyProtection="1">
      <alignment horizontal="center" vertical="center" wrapText="1"/>
    </xf>
    <xf numFmtId="0" fontId="8" fillId="14" borderId="5" xfId="10" applyNumberFormat="1" applyFont="1" applyFill="1" applyBorder="1" applyAlignment="1" applyProtection="1">
      <alignment horizontal="center" vertical="center" wrapText="1"/>
    </xf>
    <xf numFmtId="3" fontId="8" fillId="14" borderId="5" xfId="11" applyNumberFormat="1" applyFont="1" applyFill="1" applyBorder="1" applyAlignment="1" applyProtection="1">
      <alignment horizontal="center" vertical="center" wrapText="1"/>
    </xf>
    <xf numFmtId="0" fontId="8" fillId="14" borderId="5" xfId="11" applyFont="1" applyFill="1" applyBorder="1" applyAlignment="1" applyProtection="1">
      <alignment horizontal="center" vertical="center" wrapText="1"/>
    </xf>
    <xf numFmtId="3" fontId="8" fillId="14" borderId="6" xfId="10" applyNumberFormat="1" applyFont="1" applyFill="1" applyBorder="1" applyAlignment="1" applyProtection="1">
      <alignment horizontal="center" vertical="center" wrapText="1"/>
    </xf>
    <xf numFmtId="0" fontId="8" fillId="14" borderId="5" xfId="10" applyFont="1" applyFill="1" applyBorder="1" applyAlignment="1" applyProtection="1">
      <alignment horizontal="center" vertical="center" wrapText="1"/>
      <protection locked="0"/>
    </xf>
    <xf numFmtId="3" fontId="8" fillId="14" borderId="5" xfId="10" applyNumberFormat="1" applyFont="1" applyFill="1" applyBorder="1" applyAlignment="1" applyProtection="1">
      <alignment horizontal="center" vertical="center" wrapText="1"/>
      <protection locked="0"/>
    </xf>
    <xf numFmtId="9" fontId="18" fillId="15" borderId="2" xfId="18" applyFont="1" applyFill="1" applyBorder="1" applyAlignment="1" applyProtection="1">
      <alignment horizontal="center" vertical="center"/>
    </xf>
    <xf numFmtId="9" fontId="18" fillId="11" borderId="2" xfId="18" applyFont="1" applyFill="1" applyBorder="1" applyAlignment="1" applyProtection="1">
      <alignment horizontal="center" vertical="center"/>
    </xf>
    <xf numFmtId="3" fontId="9" fillId="8" borderId="11" xfId="15" applyNumberFormat="1" applyFont="1" applyFill="1" applyBorder="1" applyAlignment="1" applyProtection="1">
      <alignment horizontal="left" vertical="center" wrapText="1"/>
    </xf>
    <xf numFmtId="3" fontId="10" fillId="8" borderId="11" xfId="15" applyNumberFormat="1" applyFont="1" applyFill="1" applyBorder="1" applyAlignment="1" applyProtection="1">
      <alignment horizontal="left" vertical="center" wrapText="1"/>
    </xf>
    <xf numFmtId="3" fontId="10" fillId="16" borderId="11" xfId="15" applyNumberFormat="1" applyFont="1" applyFill="1" applyBorder="1" applyAlignment="1" applyProtection="1">
      <alignment horizontal="left" vertical="center" wrapText="1"/>
    </xf>
    <xf numFmtId="3" fontId="8" fillId="14" borderId="6" xfId="10" applyNumberFormat="1" applyFont="1" applyFill="1" applyBorder="1" applyAlignment="1" applyProtection="1">
      <alignment horizontal="center" vertical="center" wrapText="1"/>
    </xf>
    <xf numFmtId="3" fontId="8" fillId="14" borderId="11" xfId="10" applyNumberFormat="1" applyFont="1" applyFill="1" applyBorder="1" applyAlignment="1" applyProtection="1">
      <alignment horizontal="center" vertical="center" wrapText="1"/>
    </xf>
    <xf numFmtId="164" fontId="9" fillId="8" borderId="11" xfId="9" applyFont="1" applyFill="1" applyBorder="1" applyAlignment="1" applyProtection="1">
      <alignment horizontal="left" vertical="center" wrapText="1"/>
    </xf>
    <xf numFmtId="164" fontId="9" fillId="10" borderId="5" xfId="9" applyFont="1" applyFill="1" applyBorder="1" applyAlignment="1" applyProtection="1">
      <alignment vertical="center" wrapText="1"/>
    </xf>
    <xf numFmtId="168" fontId="9" fillId="10" borderId="5" xfId="9" applyNumberFormat="1" applyFont="1" applyFill="1" applyBorder="1" applyAlignment="1" applyProtection="1">
      <alignment vertical="center" wrapText="1"/>
    </xf>
    <xf numFmtId="4" fontId="9" fillId="10" borderId="5" xfId="15" applyNumberFormat="1" applyFont="1" applyFill="1" applyBorder="1" applyAlignment="1" applyProtection="1">
      <alignment horizontal="center" vertical="center" wrapText="1"/>
    </xf>
    <xf numFmtId="0" fontId="16" fillId="13" borderId="2" xfId="0" applyFont="1" applyFill="1" applyBorder="1" applyAlignment="1">
      <alignment horizontal="center" vertical="center" wrapText="1"/>
    </xf>
    <xf numFmtId="164" fontId="9" fillId="10" borderId="5" xfId="9" applyFont="1" applyFill="1" applyBorder="1" applyAlignment="1" applyProtection="1">
      <alignment horizontal="center" vertical="center" wrapText="1"/>
    </xf>
    <xf numFmtId="164" fontId="9" fillId="10" borderId="5" xfId="9" applyFont="1" applyFill="1" applyBorder="1" applyAlignment="1" applyProtection="1">
      <alignment horizontal="left" vertical="center" wrapText="1"/>
    </xf>
    <xf numFmtId="164" fontId="9" fillId="10" borderId="11" xfId="9" applyFont="1" applyFill="1" applyBorder="1" applyAlignment="1" applyProtection="1">
      <alignment horizontal="left" vertical="center"/>
    </xf>
    <xf numFmtId="164" fontId="28" fillId="8" borderId="11" xfId="9" applyFont="1" applyFill="1" applyBorder="1" applyAlignment="1" applyProtection="1">
      <alignment horizontal="left" vertical="center" wrapText="1"/>
    </xf>
    <xf numFmtId="3" fontId="5" fillId="7" borderId="0" xfId="15" applyNumberFormat="1" applyFont="1" applyFill="1" applyBorder="1" applyAlignment="1" applyProtection="1">
      <alignment vertical="center"/>
      <protection locked="0"/>
    </xf>
    <xf numFmtId="173" fontId="5" fillId="7" borderId="0" xfId="15" applyNumberFormat="1" applyFont="1" applyFill="1" applyBorder="1" applyAlignment="1" applyProtection="1">
      <alignment vertical="center"/>
      <protection locked="0"/>
    </xf>
    <xf numFmtId="164" fontId="10" fillId="10" borderId="11" xfId="9" applyFont="1" applyFill="1" applyBorder="1" applyAlignment="1" applyProtection="1">
      <alignment horizontal="left" vertical="center" wrapText="1"/>
    </xf>
    <xf numFmtId="164" fontId="10" fillId="8" borderId="11" xfId="9" applyFont="1" applyFill="1" applyBorder="1" applyAlignment="1" applyProtection="1">
      <alignment horizontal="left" vertical="center" wrapText="1"/>
    </xf>
    <xf numFmtId="9" fontId="20" fillId="7" borderId="0" xfId="18" applyFill="1" applyBorder="1" applyAlignment="1" applyProtection="1">
      <alignment vertical="center"/>
      <protection locked="0"/>
    </xf>
    <xf numFmtId="0" fontId="8" fillId="14" borderId="5" xfId="15" applyFont="1" applyFill="1" applyBorder="1" applyAlignment="1" applyProtection="1">
      <alignment horizontal="center" vertical="center" wrapText="1"/>
    </xf>
    <xf numFmtId="0" fontId="8" fillId="14" borderId="5" xfId="10" applyFont="1" applyFill="1" applyBorder="1" applyAlignment="1" applyProtection="1">
      <alignment horizontal="center" vertical="center" wrapText="1"/>
    </xf>
    <xf numFmtId="3" fontId="8" fillId="14" borderId="7" xfId="10" applyNumberFormat="1" applyFont="1" applyFill="1" applyBorder="1" applyAlignment="1" applyProtection="1">
      <alignment horizontal="center" vertical="center" wrapText="1"/>
    </xf>
    <xf numFmtId="3" fontId="8" fillId="14" borderId="6" xfId="10" applyNumberFormat="1" applyFont="1" applyFill="1" applyBorder="1" applyAlignment="1" applyProtection="1">
      <alignment horizontal="center" vertical="center" wrapText="1"/>
    </xf>
    <xf numFmtId="3" fontId="8" fillId="14" borderId="5" xfId="10" applyNumberFormat="1" applyFont="1" applyFill="1" applyBorder="1" applyAlignment="1" applyProtection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0" fontId="0" fillId="6" borderId="3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left" vertical="center" wrapText="1"/>
    </xf>
    <xf numFmtId="0" fontId="15" fillId="13" borderId="2" xfId="0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center" vertical="center" wrapText="1"/>
    </xf>
  </cellXfs>
  <cellStyles count="182">
    <cellStyle name="Excel Built-in Excel Built-in Comma [0]" xfId="74"/>
    <cellStyle name="Excel Built-in Excel Built-in Excel Built-in Excel Built-in Campo de la tabla dinámica" xfId="75"/>
    <cellStyle name="Excel Built-in Excel Built-in Excel Built-in Excel Built-in Categoría de la tabla dinámica" xfId="76"/>
    <cellStyle name="Excel Built-in Excel Built-in Excel Built-in Excel Built-in Esquina de la tabla dinámica" xfId="77"/>
    <cellStyle name="Excel Built-in Excel Built-in Excel Built-in Excel Built-in Excel Built-in Excel Built-in Excel Built-in Excel Built-in Excel Built-in Excel Built-in Excel Built-in TableStyleLight1" xfId="66"/>
    <cellStyle name="Excel Built-in Excel Built-in Excel Built-in Excel Built-in Moneda 4" xfId="78"/>
    <cellStyle name="Excel Built-in Excel Built-in Excel Built-in Excel Built-in Normal 2" xfId="79"/>
    <cellStyle name="Excel Built-in Excel Built-in Excel Built-in Excel Built-in Normal 2 10" xfId="80"/>
    <cellStyle name="Excel Built-in Excel Built-in Excel Built-in Excel Built-in Normal 5" xfId="81"/>
    <cellStyle name="Excel Built-in Excel Built-in Excel Built-in Excel Built-in Normal 7" xfId="82"/>
    <cellStyle name="Excel Built-in Excel Built-in Excel Built-in Excel Built-in Porcentual 2" xfId="83"/>
    <cellStyle name="Excel Built-in Excel Built-in Excel Built-in Excel Built-in Resultado de la tabla dinámica" xfId="84"/>
    <cellStyle name="Excel Built-in Excel Built-in Excel Built-in Excel Built-in TableStyleLight1" xfId="73"/>
    <cellStyle name="Excel Built-in Excel Built-in Excel Built-in Excel Built-in Título de la tabla dinámica" xfId="85"/>
    <cellStyle name="Excel Built-in Excel Built-in Excel Built-in Excel Built-in Valor de la tabla dinámica" xfId="86"/>
    <cellStyle name="Hipervínculo" xfId="21" builtinId="8" hidden="1"/>
    <cellStyle name="Hipervínculo" xfId="23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62" builtinId="8" hidden="1"/>
    <cellStyle name="Hipervínculo" xfId="64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 visitado" xfId="22" builtinId="9" hidden="1"/>
    <cellStyle name="Hipervínculo visitado" xfId="24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3" builtinId="9" hidden="1"/>
    <cellStyle name="Hipervínculo visitado" xfId="65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Millares [0] 2" xfId="25"/>
    <cellStyle name="Millares 2" xfId="1"/>
    <cellStyle name="Millares 2 2" xfId="2"/>
    <cellStyle name="Millares 3" xfId="3"/>
    <cellStyle name="Millares 4" xfId="4"/>
    <cellStyle name="Millares 5" xfId="26"/>
    <cellStyle name="Moneda 2" xfId="5"/>
    <cellStyle name="Moneda 2 2" xfId="6"/>
    <cellStyle name="Moneda 3" xfId="7"/>
    <cellStyle name="Moneda 3 2" xfId="8"/>
    <cellStyle name="Moneda 4" xfId="9"/>
    <cellStyle name="Normal" xfId="0" builtinId="0"/>
    <cellStyle name="Normal 2" xfId="10"/>
    <cellStyle name="Normal 2 10" xfId="11"/>
    <cellStyle name="Normal 2 2" xfId="12"/>
    <cellStyle name="Normal 3" xfId="13"/>
    <cellStyle name="Normal 4" xfId="14"/>
    <cellStyle name="Normal 5" xfId="15"/>
    <cellStyle name="Normal 5 2" xfId="16"/>
    <cellStyle name="Normal 6" xfId="59"/>
    <cellStyle name="Porcentaje" xfId="18" builtinId="5"/>
    <cellStyle name="Porcentaje 2" xfId="17"/>
    <cellStyle name="Porcentaje 3" xfId="61"/>
    <cellStyle name="Porcentual 2" xfId="19"/>
    <cellStyle name="Porcentual 3" xfId="87"/>
    <cellStyle name="TableStyleLight1" xfId="20"/>
    <cellStyle name="TableStyleLight1 2" xfId="6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8000"/>
      <rgbColor rgb="0000009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A1A1A"/>
      <rgbColor rgb="00FF00FF"/>
      <rgbColor rgb="00FFFF00"/>
      <rgbColor rgb="0000FFFF"/>
      <rgbColor rgb="00800080"/>
      <rgbColor rgb="00800000"/>
      <rgbColor rgb="00008080"/>
      <rgbColor rgb="000000FF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4EE257"/>
      <rgbColor rgb="00FFCC00"/>
      <rgbColor rgb="00FEA746"/>
      <rgbColor rgb="00FF6600"/>
      <rgbColor rgb="00666699"/>
      <rgbColor rgb="00969696"/>
      <rgbColor rgb="00003366"/>
      <rgbColor rgb="00339966"/>
      <rgbColor rgb="00003300"/>
      <rgbColor rgb="00333300"/>
      <rgbColor rgb="00DC2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\Users\Usuario\Desktop\Musi%20a%20Barri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juianarango\Desktop\SECRETARIA%20DISTRITAL%20DE%20PLANEACION\SDP%202015\MUSI%202015%20AJUSTADA%20(Para%20primer%20segumiento%202015)\PRIMER%20CORTE%20MUSI%202015\MUSI%20SUBA%20Corte%2031%20de%20marzo%20de%202015%20(16%20abril%20de%20201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Matriz unificada de seguimiento"/>
      <sheetName val="PMR"/>
      <sheetName val="APC"/>
      <sheetName val="APR"/>
      <sheetName val="Contratacion 2013"/>
      <sheetName val="Contratacion 201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 Unificada de Seguimiento"/>
      <sheetName val="Hoja2"/>
      <sheetName val="Hoja3"/>
      <sheetName val="PMR"/>
      <sheetName val="Insumo PMR"/>
      <sheetName val="APC"/>
      <sheetName val="APR"/>
      <sheetName val="Insumos ponderaciones"/>
      <sheetName val="Contratación 2013"/>
      <sheetName val="Contratación 2014"/>
      <sheetName val="Contratación 2015"/>
      <sheetName val="Desplegables"/>
    </sheetNames>
    <sheetDataSet>
      <sheetData sheetId="0"/>
      <sheetData sheetId="1">
        <row r="8">
          <cell r="B8" t="str">
            <v>EJE_UNO</v>
          </cell>
          <cell r="C8">
            <v>1</v>
          </cell>
        </row>
        <row r="9">
          <cell r="B9" t="str">
            <v>EJE_DOS</v>
          </cell>
          <cell r="C9">
            <v>2</v>
          </cell>
        </row>
        <row r="10">
          <cell r="B10" t="str">
            <v>EJE_TRES</v>
          </cell>
          <cell r="C10">
            <v>3</v>
          </cell>
        </row>
        <row r="12">
          <cell r="B12" t="str">
            <v>Garantía del desarrollo integral de la primera infancia.</v>
          </cell>
          <cell r="C12">
            <v>1</v>
          </cell>
        </row>
        <row r="13">
          <cell r="B13" t="str">
            <v>Territorios saludables y red de salud para la vida desde la diversidad.</v>
          </cell>
          <cell r="C13">
            <v>2</v>
          </cell>
        </row>
        <row r="14">
          <cell r="B14" t="str">
            <v>Construcción de saberes. Educación inclusiva, diversa y de calidad para disfrutar y aprender desde la primera infancia.</v>
          </cell>
          <cell r="C14">
            <v>3</v>
          </cell>
        </row>
        <row r="15">
          <cell r="B15" t="str">
            <v>Bogotá Humana con igualdad de oportunidades y equidad de género para las mujeres.</v>
          </cell>
          <cell r="C15">
            <v>4</v>
          </cell>
        </row>
        <row r="16">
          <cell r="B16" t="str">
            <v>Lucha contra distintos tipos de discriminación y violencias por condición, situación, identidad, diferencia, diversidad o etapa del ciclo vital.</v>
          </cell>
          <cell r="C16">
            <v>5</v>
          </cell>
        </row>
        <row r="17">
          <cell r="B17" t="str">
            <v>Bogotá Humana, por la dignidad de las víctimas.</v>
          </cell>
          <cell r="C17">
            <v>6</v>
          </cell>
        </row>
        <row r="18">
          <cell r="B18" t="str">
            <v>Bogotá, un territorio que defiende, protege y promueve los derechos humanos.</v>
          </cell>
          <cell r="C18">
            <v>7</v>
          </cell>
        </row>
        <row r="19">
          <cell r="B19" t="str">
            <v>Ejercicio de libertades culturales y deportivas.</v>
          </cell>
          <cell r="C19">
            <v>8</v>
          </cell>
        </row>
        <row r="20">
          <cell r="B20" t="str">
            <v>Ruralidad humana.</v>
          </cell>
          <cell r="C20">
            <v>10</v>
          </cell>
        </row>
        <row r="21">
          <cell r="B21" t="str">
            <v>Ciencia, tecnología e innovación para avanzar en el desarrollo de la ciudad.</v>
          </cell>
          <cell r="C21">
            <v>11</v>
          </cell>
        </row>
        <row r="22">
          <cell r="B22" t="str">
            <v>Fortalecimiento y mejoramiento de la calidad y cobertura de los servicios públicos.</v>
          </cell>
          <cell r="C22">
            <v>14</v>
          </cell>
        </row>
        <row r="23">
          <cell r="B23" t="str">
            <v>Vivienda y hábitat humano.</v>
          </cell>
          <cell r="C23">
            <v>15</v>
          </cell>
        </row>
        <row r="24">
          <cell r="B24" t="str">
            <v>Revitalización Centro Ampliado.</v>
          </cell>
          <cell r="C24">
            <v>16</v>
          </cell>
        </row>
        <row r="25">
          <cell r="B25" t="str">
            <v>Recuperación, rehabilitación y restauración de la estructura ecológica principal y de los espacios del agua.</v>
          </cell>
          <cell r="C25">
            <v>17</v>
          </cell>
        </row>
        <row r="26">
          <cell r="B26" t="str">
            <v>Estrategia territorial frente al cambio climático.</v>
          </cell>
          <cell r="C26">
            <v>18</v>
          </cell>
        </row>
        <row r="27">
          <cell r="B27" t="str">
            <v>Movilidad Humana.</v>
          </cell>
          <cell r="C27">
            <v>19</v>
          </cell>
        </row>
        <row r="28">
          <cell r="B28" t="str">
            <v>Gestión integral de riesgos.</v>
          </cell>
          <cell r="C28">
            <v>20</v>
          </cell>
        </row>
        <row r="29">
          <cell r="B29" t="str">
            <v>Basura cero.</v>
          </cell>
          <cell r="C29">
            <v>21</v>
          </cell>
        </row>
        <row r="30">
          <cell r="B30" t="str">
            <v>Bogotá Humana ambientalmente saludable.</v>
          </cell>
          <cell r="C30">
            <v>22</v>
          </cell>
        </row>
        <row r="31">
          <cell r="B31" t="str">
            <v>Bogotá Humana participa y decide.</v>
          </cell>
          <cell r="C31">
            <v>24</v>
          </cell>
        </row>
        <row r="32">
          <cell r="B32" t="str">
            <v>Fortalecimiento de las capacidades de gestión y coordinación del nivel central y las localidades desde los territorios.</v>
          </cell>
          <cell r="C32">
            <v>25</v>
          </cell>
        </row>
        <row r="33">
          <cell r="B33" t="str">
            <v>Transparencia, probidad, lucha contra la corrupción y control social efectivo e incluyente.</v>
          </cell>
          <cell r="C33">
            <v>26</v>
          </cell>
        </row>
        <row r="34">
          <cell r="B34" t="str">
            <v>Territorios de vida y paz con prevención del delito.</v>
          </cell>
          <cell r="C34">
            <v>27</v>
          </cell>
        </row>
        <row r="35">
          <cell r="B35" t="str">
            <v>Fortalecimiento de la seguridad ciudadana.</v>
          </cell>
          <cell r="C35">
            <v>28</v>
          </cell>
        </row>
        <row r="36">
          <cell r="B36" t="str">
            <v>Bogotá, ciudad de memoria, paz y reconciliación.</v>
          </cell>
          <cell r="C36">
            <v>29</v>
          </cell>
        </row>
        <row r="37">
          <cell r="B37" t="str">
            <v>Bogotá decide y protege el derecho fundamental a la salud de los intereses del  mercado y la corrupción.</v>
          </cell>
          <cell r="C37">
            <v>30</v>
          </cell>
        </row>
        <row r="38">
          <cell r="B38" t="str">
            <v>Fortalecimiento de la función administrativa y desarrollo institucional.</v>
          </cell>
          <cell r="C38">
            <v>31</v>
          </cell>
        </row>
        <row r="39">
          <cell r="B39" t="str">
            <v>Tic para gobierno digital, ciudad inteligente, y sociedad del conocimiento y del emprendimiento.</v>
          </cell>
          <cell r="C39">
            <v>32</v>
          </cell>
        </row>
        <row r="40">
          <cell r="B40" t="str">
            <v>Bogotá Humana internacional.</v>
          </cell>
          <cell r="C40">
            <v>33</v>
          </cell>
        </row>
        <row r="47">
          <cell r="B47" t="str">
            <v xml:space="preserve">USAQUÉN </v>
          </cell>
          <cell r="C47">
            <v>1</v>
          </cell>
        </row>
        <row r="48">
          <cell r="B48" t="str">
            <v>CHAPINERO</v>
          </cell>
          <cell r="C48">
            <v>2</v>
          </cell>
        </row>
        <row r="49">
          <cell r="B49" t="str">
            <v>SANTA FE</v>
          </cell>
          <cell r="C49">
            <v>3</v>
          </cell>
        </row>
        <row r="50">
          <cell r="B50" t="str">
            <v>SAN CRISTÓBAL</v>
          </cell>
          <cell r="C50">
            <v>4</v>
          </cell>
        </row>
        <row r="51">
          <cell r="B51" t="str">
            <v>USME</v>
          </cell>
          <cell r="C51">
            <v>5</v>
          </cell>
        </row>
        <row r="52">
          <cell r="B52" t="str">
            <v>TUNJUELITO</v>
          </cell>
          <cell r="C52">
            <v>6</v>
          </cell>
        </row>
        <row r="53">
          <cell r="B53" t="str">
            <v>BOSA</v>
          </cell>
          <cell r="C53">
            <v>7</v>
          </cell>
        </row>
        <row r="54">
          <cell r="B54" t="str">
            <v>KENNEDY</v>
          </cell>
          <cell r="C54">
            <v>8</v>
          </cell>
        </row>
        <row r="55">
          <cell r="B55" t="str">
            <v>FONTIBÓN</v>
          </cell>
          <cell r="C55">
            <v>9</v>
          </cell>
        </row>
        <row r="56">
          <cell r="B56" t="str">
            <v xml:space="preserve">ENGATIVA </v>
          </cell>
          <cell r="C56">
            <v>10</v>
          </cell>
        </row>
        <row r="57">
          <cell r="B57" t="str">
            <v>SUBA</v>
          </cell>
          <cell r="C57">
            <v>11</v>
          </cell>
        </row>
        <row r="58">
          <cell r="B58" t="str">
            <v>BARRIOS UNIDOS</v>
          </cell>
          <cell r="C58">
            <v>12</v>
          </cell>
        </row>
        <row r="59">
          <cell r="B59" t="str">
            <v>TEUSAQUILLO</v>
          </cell>
          <cell r="C59">
            <v>13</v>
          </cell>
        </row>
        <row r="60">
          <cell r="B60" t="str">
            <v>LOS MÁRTIRES</v>
          </cell>
          <cell r="C60">
            <v>14</v>
          </cell>
        </row>
        <row r="61">
          <cell r="B61" t="str">
            <v>ANTONIO NARIÑO</v>
          </cell>
          <cell r="C61">
            <v>15</v>
          </cell>
        </row>
        <row r="62">
          <cell r="B62" t="str">
            <v>PUENTE ARANDA</v>
          </cell>
          <cell r="C62">
            <v>16</v>
          </cell>
        </row>
        <row r="63">
          <cell r="B63" t="str">
            <v>LA CANDELARIA</v>
          </cell>
          <cell r="C63">
            <v>17</v>
          </cell>
        </row>
        <row r="64">
          <cell r="B64" t="str">
            <v>RAFAEL URIBE URIBE</v>
          </cell>
          <cell r="C64">
            <v>18</v>
          </cell>
        </row>
        <row r="65">
          <cell r="B65" t="str">
            <v>CIUDAD BOLÍVAR</v>
          </cell>
          <cell r="C65">
            <v>19</v>
          </cell>
        </row>
        <row r="66">
          <cell r="B66" t="str">
            <v>SUMAPAZ</v>
          </cell>
          <cell r="C66">
            <v>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7">
          <cell r="D77" t="str">
            <v>INDICADOR UNIFICADO</v>
          </cell>
          <cell r="E77" t="str">
            <v>CÓDIGO</v>
          </cell>
          <cell r="F77" t="str">
            <v>PRODUCTO</v>
          </cell>
          <cell r="G77" t="str">
            <v>SECTOR</v>
          </cell>
        </row>
        <row r="78">
          <cell r="D78" t="str">
            <v>Personas vinculadas a acciones de promoción del buen trato</v>
          </cell>
          <cell r="E78">
            <v>1</v>
          </cell>
          <cell r="F78" t="str">
            <v>Protección integral a niños y niñas y adolescentes</v>
          </cell>
          <cell r="G78" t="str">
            <v>10. SDIS</v>
          </cell>
        </row>
        <row r="79">
          <cell r="D79" t="str">
            <v>Equipamientos para la atención a la primera infancia dotados</v>
          </cell>
          <cell r="E79">
            <v>2</v>
          </cell>
          <cell r="F79" t="str">
            <v>Adecuación , habilitación y dotación de jardines</v>
          </cell>
          <cell r="G79" t="str">
            <v>10. SDIS</v>
          </cell>
        </row>
        <row r="80">
          <cell r="D80" t="str">
            <v>Equipamientos para la atención a la primera infancia adecuados</v>
          </cell>
          <cell r="E80">
            <v>3</v>
          </cell>
          <cell r="F80" t="str">
            <v>Adecuación , habilitación y dotación de jardines</v>
          </cell>
          <cell r="G80" t="str">
            <v>10. SDIS</v>
          </cell>
        </row>
        <row r="81">
          <cell r="D81" t="str">
            <v xml:space="preserve">Personas vinculadas a acciones de promoción y prevención en salud </v>
          </cell>
          <cell r="E81">
            <v>4</v>
          </cell>
          <cell r="F81" t="str">
            <v>Promoción, prevención e intervención en salud</v>
          </cell>
          <cell r="G81" t="str">
            <v>9. SALUD</v>
          </cell>
        </row>
        <row r="82">
          <cell r="D82" t="str">
            <v>Personas benficiadas con ayudas técnicas</v>
          </cell>
          <cell r="E82">
            <v>5</v>
          </cell>
          <cell r="F82" t="str">
            <v>Promoción, prevención e intervención en salud</v>
          </cell>
          <cell r="G82" t="str">
            <v>9. SALUD</v>
          </cell>
        </row>
        <row r="83">
          <cell r="D83" t="str">
            <v xml:space="preserve">Focos intervenidos para el control de vectores y plagas </v>
          </cell>
          <cell r="E83">
            <v>6</v>
          </cell>
          <cell r="F83" t="str">
            <v>Inspección, vigilancia y control(IVC) del sistema de salud</v>
          </cell>
          <cell r="G83" t="str">
            <v>9. SALUD</v>
          </cell>
        </row>
        <row r="84">
          <cell r="D84" t="str">
            <v>Planteles educativos dotados</v>
          </cell>
          <cell r="E84">
            <v>7</v>
          </cell>
          <cell r="F84" t="str">
            <v>Infraestructura y dotación escolar</v>
          </cell>
          <cell r="G84" t="str">
            <v>4. EDUCACIÓN</v>
          </cell>
        </row>
        <row r="85">
          <cell r="D85" t="str">
            <v>Número de bibliotecas locales y barriales dotadas para programas de promoción a la lectura</v>
          </cell>
          <cell r="E85">
            <v>8</v>
          </cell>
          <cell r="F85" t="str">
            <v>Infraestructura y dotación escolar</v>
          </cell>
          <cell r="G85" t="str">
            <v>4. EDUCACIÓN</v>
          </cell>
        </row>
        <row r="86">
          <cell r="D86" t="str">
            <v>Estudiantes vinculados a actividades extraescolares</v>
          </cell>
          <cell r="E86">
            <v>9</v>
          </cell>
          <cell r="F86" t="str">
            <v>Actividades Extraescolares</v>
          </cell>
          <cell r="G86" t="str">
            <v>4. EDUCACIÓN</v>
          </cell>
        </row>
        <row r="87">
          <cell r="D87" t="str">
            <v>Foros educativos realizados</v>
          </cell>
          <cell r="E87">
            <v>10</v>
          </cell>
          <cell r="F87" t="str">
            <v>Actividades Extraescolares</v>
          </cell>
          <cell r="G87" t="str">
            <v>4. EDUCACIÓN</v>
          </cell>
        </row>
        <row r="88">
          <cell r="D88" t="str">
            <v>Personas vinculadas a programas de educación para adultos</v>
          </cell>
          <cell r="E88">
            <v>11</v>
          </cell>
          <cell r="F88" t="str">
            <v>Validación Escolar</v>
          </cell>
          <cell r="G88" t="str">
            <v>4. EDUCACIÓN</v>
          </cell>
        </row>
        <row r="89">
          <cell r="D89" t="str">
            <v>Personas beneficiadas con acciones de gestión para acceder a la educación superior</v>
          </cell>
          <cell r="E89">
            <v>12</v>
          </cell>
          <cell r="F89" t="str">
            <v>Apoyo a la educación superior</v>
          </cell>
          <cell r="G89" t="str">
            <v>4. EDUCACIÓN</v>
          </cell>
        </row>
        <row r="90">
          <cell r="D90" t="str">
            <v>Número de cupos en programas de educación superior promovidos en las IED</v>
          </cell>
          <cell r="E90">
            <v>13</v>
          </cell>
          <cell r="F90" t="str">
            <v>Apoyo a la educación superior</v>
          </cell>
          <cell r="G90" t="str">
            <v>4. EDUCACIÓN</v>
          </cell>
        </row>
        <row r="91">
          <cell r="D91" t="str">
            <v>Personas vinculadas a procesos de prevención de la violencia y discriminación de género</v>
          </cell>
          <cell r="E91">
            <v>14</v>
          </cell>
          <cell r="F91" t="str">
            <v xml:space="preserve">Espacios y procesos de participación ciudadana fortalecidos </v>
          </cell>
          <cell r="G91" t="str">
            <v>12. SECRETARÍA DE LA MUJER</v>
          </cell>
        </row>
        <row r="92">
          <cell r="D92" t="str">
            <v xml:space="preserve">Personas vinculadas a procesos de reconocimiento de la identidad de género, orientación y diversidad sexual, grupo étnico y etario. </v>
          </cell>
          <cell r="E92">
            <v>15</v>
          </cell>
          <cell r="F92" t="str">
            <v xml:space="preserve">Espacios y procesos de participación ciudadana fortalecidos </v>
          </cell>
          <cell r="G92" t="str">
            <v xml:space="preserve">5. GOBIERNO </v>
          </cell>
        </row>
        <row r="93">
          <cell r="D93" t="str">
            <v>Personas vinculadas a estrategias de prevencion de las violencias, violencia intrafamiliar y la discriminación</v>
          </cell>
          <cell r="E93">
            <v>16</v>
          </cell>
          <cell r="F93" t="str">
            <v>Protección  integral a personas y familias en situación de vulneración</v>
          </cell>
          <cell r="G93" t="str">
            <v>10. SDIS</v>
          </cell>
        </row>
        <row r="94">
          <cell r="D94" t="str">
            <v>Centros noche dotados</v>
          </cell>
          <cell r="E94">
            <v>17</v>
          </cell>
          <cell r="F94" t="str">
            <v>Protección  integral a personas y familias en situación de vulneración</v>
          </cell>
          <cell r="G94" t="str">
            <v>10. SDIS</v>
          </cell>
        </row>
        <row r="95">
          <cell r="D95" t="str">
            <v>Iniciativas juveniles apoyadas</v>
          </cell>
          <cell r="E95">
            <v>18</v>
          </cell>
          <cell r="F95" t="str">
            <v>Protección  integral a personas y familias en situación de vulneración</v>
          </cell>
          <cell r="G95" t="str">
            <v>10. SDIS</v>
          </cell>
        </row>
        <row r="96">
          <cell r="D96" t="str">
            <v>Personas con subsidio tipo C  beneficiadas</v>
          </cell>
          <cell r="E96">
            <v>19</v>
          </cell>
          <cell r="F96" t="str">
            <v>Protección  integral a personas y familias en situación de vulneración</v>
          </cell>
          <cell r="G96" t="str">
            <v>10. SDIS</v>
          </cell>
        </row>
        <row r="97">
          <cell r="D97" t="str">
            <v>Personas vinculadas a procesos de promoción en derechos humanos</v>
          </cell>
          <cell r="E97">
            <v>20</v>
          </cell>
          <cell r="F97" t="str">
            <v>Prevención, atención y gestión del conflicto en la localidad</v>
          </cell>
          <cell r="G97" t="str">
            <v xml:space="preserve">5. GOBIERNO </v>
          </cell>
        </row>
        <row r="98">
          <cell r="D98" t="str">
            <v>Personas vínculadas a acciones de promoción de  rutas de acceso a la justicia formal</v>
          </cell>
          <cell r="E98">
            <v>21</v>
          </cell>
          <cell r="F98" t="str">
            <v>Prevención, atención y gestión del conflicto en la localidad</v>
          </cell>
          <cell r="G98" t="str">
            <v xml:space="preserve">5. GOBIERNO </v>
          </cell>
        </row>
        <row r="99">
          <cell r="D99" t="str">
            <v>Personas vinculadas a procesos de resolución alternativa de conflictos</v>
          </cell>
          <cell r="E99">
            <v>22</v>
          </cell>
          <cell r="F99" t="str">
            <v>Prevención, atención y gestión del conflicto en la localidad</v>
          </cell>
          <cell r="G99" t="str">
            <v xml:space="preserve">5. GOBIERNO </v>
          </cell>
        </row>
        <row r="100">
          <cell r="D100" t="str">
            <v>Eventos culturales realizados</v>
          </cell>
          <cell r="E100">
            <v>23</v>
          </cell>
          <cell r="F100" t="str">
            <v>Espacios artísticos y culturales</v>
          </cell>
          <cell r="G100" t="str">
            <v>2. CULTURA Y RECREACIÓN</v>
          </cell>
        </row>
        <row r="101">
          <cell r="D101" t="str">
            <v>Personas vinculadas a la oferta cultural</v>
          </cell>
          <cell r="E101">
            <v>24</v>
          </cell>
          <cell r="F101" t="str">
            <v>Espacios artísticos y culturales</v>
          </cell>
          <cell r="G101" t="str">
            <v>2. CULTURA Y RECREACIÓN</v>
          </cell>
        </row>
        <row r="102">
          <cell r="D102" t="str">
            <v>Personas capacitadas en formación informal artística, cultural y del patrimonio</v>
          </cell>
          <cell r="E102">
            <v>25</v>
          </cell>
          <cell r="F102" t="str">
            <v>Formación artística y cultural</v>
          </cell>
          <cell r="G102" t="str">
            <v>2. CULTURA Y RECREACIÓN</v>
          </cell>
        </row>
        <row r="103">
          <cell r="D103" t="str">
            <v>Iniciativas culturales apoyadas</v>
          </cell>
          <cell r="E103">
            <v>26</v>
          </cell>
          <cell r="F103" t="str">
            <v>Formación artística y cultural</v>
          </cell>
          <cell r="G103" t="str">
            <v>2. CULTURA Y RECREACIÓN</v>
          </cell>
        </row>
        <row r="104">
          <cell r="D104" t="str">
            <v>Escenarios culturales dotados</v>
          </cell>
          <cell r="E104">
            <v>27</v>
          </cell>
          <cell r="F104" t="str">
            <v>Infraestructura y dotación a centros artísticos y culturales</v>
          </cell>
          <cell r="G104" t="str">
            <v>2. CULTURA Y RECREACIÓN</v>
          </cell>
        </row>
        <row r="105">
          <cell r="D105" t="str">
            <v>Corredores cuturales, y/o turisticos diseñados y/o intervenidos</v>
          </cell>
          <cell r="E105">
            <v>28</v>
          </cell>
          <cell r="F105" t="str">
            <v>Promoción turística y posicionamiento de la localidad como destino turístico</v>
          </cell>
          <cell r="G105" t="str">
            <v>2. CULTURA Y RECREACIÓN</v>
          </cell>
        </row>
        <row r="106">
          <cell r="D106" t="str">
            <v>Espacios recuperados o apropiados culturalmente</v>
          </cell>
          <cell r="E106">
            <v>29</v>
          </cell>
          <cell r="F106" t="str">
            <v>Infraestructura y dotación a centros artísticos y culturales</v>
          </cell>
          <cell r="G106" t="str">
            <v>2. CULTURA Y RECREACIÓN</v>
          </cell>
        </row>
        <row r="107">
          <cell r="D107" t="str">
            <v>Personas vinculadas a escuelas de formación deportiva</v>
          </cell>
          <cell r="E107">
            <v>30</v>
          </cell>
          <cell r="F107" t="str">
            <v>Eventos y actividades recreativas y deportivas</v>
          </cell>
          <cell r="G107" t="str">
            <v>2. CULTURA Y RECREACIÓN</v>
          </cell>
        </row>
        <row r="108">
          <cell r="D108" t="str">
            <v>Eventos de recreación y deporte realizados</v>
          </cell>
          <cell r="E108">
            <v>31</v>
          </cell>
          <cell r="F108" t="str">
            <v>Eventos y actividades recreativas y deportivas</v>
          </cell>
          <cell r="G108" t="str">
            <v>2. CULTURA Y RECREACIÓN</v>
          </cell>
        </row>
        <row r="109">
          <cell r="D109" t="str">
            <v xml:space="preserve">Personas vinculadas a la oferta recreativa y deportiva </v>
          </cell>
          <cell r="E109">
            <v>32</v>
          </cell>
          <cell r="F109" t="str">
            <v>Eventos y actividades recreativas y deportivas</v>
          </cell>
          <cell r="G109" t="str">
            <v>2. CULTURA Y RECREACIÓN</v>
          </cell>
        </row>
        <row r="110">
          <cell r="D110" t="str">
            <v>Iniciativas deportivas apoyadas</v>
          </cell>
          <cell r="E110">
            <v>33</v>
          </cell>
          <cell r="F110" t="str">
            <v>Eventos y actividades recreativas y deportivas</v>
          </cell>
          <cell r="G110" t="str">
            <v>2. CULTURA Y RECREACIÓN</v>
          </cell>
        </row>
        <row r="111">
          <cell r="D111" t="str">
            <v>Materiales y elementos para la práctica recreativa y deportiva  entregados</v>
          </cell>
          <cell r="E111">
            <v>34</v>
          </cell>
          <cell r="F111" t="str">
            <v>Eventos y actividades recreativas y deportivas</v>
          </cell>
          <cell r="G111" t="str">
            <v>2. CULTURA Y RECREACIÓN</v>
          </cell>
        </row>
        <row r="112">
          <cell r="D112" t="str">
            <v xml:space="preserve">Parques vecinales y/o de bolsillo intervenidos </v>
          </cell>
          <cell r="E112">
            <v>35</v>
          </cell>
          <cell r="F112" t="str">
            <v>Parques y escenarios deportivos</v>
          </cell>
          <cell r="G112" t="str">
            <v>2. CULTURA Y RECREACIÓN</v>
          </cell>
        </row>
        <row r="113">
          <cell r="D113" t="str">
            <v>Parques vecinales construidos</v>
          </cell>
          <cell r="E113">
            <v>36</v>
          </cell>
          <cell r="F113" t="str">
            <v>Parques y escenarios deportivos</v>
          </cell>
          <cell r="G113" t="str">
            <v>2. CULTURA Y RECREACIÓN</v>
          </cell>
        </row>
        <row r="114">
          <cell r="D114" t="str">
            <v>Parques de bolisllo construidos</v>
          </cell>
          <cell r="E114">
            <v>37</v>
          </cell>
          <cell r="F114" t="str">
            <v>Parques y escenarios deportivos</v>
          </cell>
          <cell r="G114" t="str">
            <v>2. CULTURA Y RECREACIÓN</v>
          </cell>
        </row>
        <row r="115">
          <cell r="D115" t="str">
            <v>Metros lineales de acueducto y alcantarilladlo rural intervenidos</v>
          </cell>
          <cell r="E115">
            <v>38</v>
          </cell>
          <cell r="F115" t="str">
            <v>Acueductos y alcantarillados</v>
          </cell>
          <cell r="G115" t="str">
            <v>7. HABITAT</v>
          </cell>
        </row>
        <row r="116">
          <cell r="D116" t="str">
            <v>Personas beneficiadas con asesoría y acompañamiento en soluciones de vivienda y mejoramiento de barrios</v>
          </cell>
          <cell r="E116">
            <v>39</v>
          </cell>
          <cell r="F116" t="str">
            <v>Regulación legalización de predios y apoyo a la vivienda</v>
          </cell>
          <cell r="G116" t="str">
            <v>7. HABITAT</v>
          </cell>
        </row>
        <row r="117">
          <cell r="D117" t="str">
            <v>Corredores ambientales diseñados y/o intervenidos</v>
          </cell>
          <cell r="E117">
            <v>40</v>
          </cell>
          <cell r="F117" t="str">
            <v>Calidad ambiental y preservación del patrimonio natural</v>
          </cell>
          <cell r="G117" t="str">
            <v>1. AMBIENTE</v>
          </cell>
        </row>
        <row r="118">
          <cell r="D118" t="str">
            <v>Personas vinculadas en acciones para la conservación o recuperación de los espacios del agua y la protección del ambiente</v>
          </cell>
          <cell r="E118">
            <v>41</v>
          </cell>
          <cell r="F118" t="str">
            <v>Calidad ambiental y preservación del patrimonio natural</v>
          </cell>
          <cell r="G118" t="str">
            <v>1. AMBIENTE</v>
          </cell>
        </row>
        <row r="119">
          <cell r="D119" t="str">
            <v>Organizaciones apoyadas para la protección del ambiente</v>
          </cell>
          <cell r="E119">
            <v>42</v>
          </cell>
          <cell r="F119" t="str">
            <v>Calidad ambiental y preservación del patrimonio natural</v>
          </cell>
          <cell r="G119" t="str">
            <v>1. AMBIENTE</v>
          </cell>
        </row>
        <row r="120">
          <cell r="D120" t="str">
            <v>Personas vinculadas a procesos de sensibilización sobre contaminación atmosférica, visual  y auditiva.</v>
          </cell>
          <cell r="E120">
            <v>43</v>
          </cell>
          <cell r="F120" t="str">
            <v>Calidad ambiental y preservación del patrimonio natural</v>
          </cell>
          <cell r="G120" t="str">
            <v>1. AMBIENTE</v>
          </cell>
        </row>
        <row r="121">
          <cell r="D121" t="str">
            <v>Número de  personas vinculadas  a los procesos de  fortalecimiento de los PRAES y PROCEDAS de la localidad.</v>
          </cell>
          <cell r="E121">
            <v>44</v>
          </cell>
          <cell r="F121" t="str">
            <v>Sistema de información ambiental</v>
          </cell>
          <cell r="G121" t="str">
            <v>1. AMBIENTE</v>
          </cell>
        </row>
        <row r="122">
          <cell r="D122" t="str">
            <v>Espacios ambientales intervenidos</v>
          </cell>
          <cell r="E122">
            <v>45</v>
          </cell>
          <cell r="F122" t="str">
            <v>Calidad ambiental y preservación del patrimonio natural</v>
          </cell>
          <cell r="G122" t="str">
            <v>1. AMBIENTE</v>
          </cell>
        </row>
        <row r="123">
          <cell r="D123" t="str">
            <v>Km/carril de malla vial local recuperados</v>
          </cell>
          <cell r="E123">
            <v>46</v>
          </cell>
          <cell r="F123" t="str">
            <v>Vías Locales</v>
          </cell>
          <cell r="G123" t="str">
            <v>8. MOVILIDAD</v>
          </cell>
        </row>
        <row r="124">
          <cell r="D124" t="str">
            <v>Km/carril de malla vial rural recuperados</v>
          </cell>
          <cell r="E124">
            <v>47</v>
          </cell>
          <cell r="F124" t="str">
            <v>Vías Locales</v>
          </cell>
          <cell r="G124" t="str">
            <v>8. MOVILIDAD</v>
          </cell>
        </row>
        <row r="125">
          <cell r="D125" t="str">
            <v>Km/carril de malla vial local construidos.</v>
          </cell>
          <cell r="E125">
            <v>48</v>
          </cell>
          <cell r="F125" t="str">
            <v>Vías Locales</v>
          </cell>
          <cell r="G125" t="str">
            <v>8. MOVILIDAD</v>
          </cell>
        </row>
        <row r="126">
          <cell r="D126" t="str">
            <v>Km/carril de malla vial rural construidos.</v>
          </cell>
          <cell r="E126">
            <v>49</v>
          </cell>
          <cell r="F126" t="str">
            <v>Vías Locales</v>
          </cell>
          <cell r="G126" t="str">
            <v>8. MOVILIDAD</v>
          </cell>
        </row>
        <row r="127">
          <cell r="D127" t="str">
            <v>m2 de espacio público  construidos.</v>
          </cell>
          <cell r="E127">
            <v>50</v>
          </cell>
          <cell r="F127" t="str">
            <v>Espacio Publico</v>
          </cell>
          <cell r="G127" t="str">
            <v>8. MOVILIDAD</v>
          </cell>
        </row>
        <row r="128">
          <cell r="D128" t="str">
            <v>m2 de espacio público recuperado</v>
          </cell>
          <cell r="E128">
            <v>51</v>
          </cell>
          <cell r="F128" t="str">
            <v>Espacio Publico</v>
          </cell>
          <cell r="G128" t="str">
            <v>8. MOVILIDAD</v>
          </cell>
        </row>
        <row r="129">
          <cell r="D129" t="str">
            <v>Dotaciones con elementos de mobiliario urbano realizadas</v>
          </cell>
          <cell r="E129">
            <v>52</v>
          </cell>
          <cell r="F129" t="str">
            <v>Espacio Publico</v>
          </cell>
          <cell r="G129" t="str">
            <v>8. MOVILIDAD</v>
          </cell>
        </row>
        <row r="130">
          <cell r="D130" t="str">
            <v>Acciones realizadas para promover el uso de medios alternativos de movilidad</v>
          </cell>
          <cell r="E130">
            <v>53</v>
          </cell>
          <cell r="F130" t="str">
            <v>Espacio Publico</v>
          </cell>
          <cell r="G130" t="str">
            <v>8. MOVILIDAD</v>
          </cell>
        </row>
        <row r="131">
          <cell r="D131" t="str">
            <v>Porcentaje de obras para el manejo de riesgo realizadas frente a las solicitadas</v>
          </cell>
          <cell r="E131">
            <v>54</v>
          </cell>
          <cell r="F131" t="str">
            <v>Gestión para la prevención y mitigación del riesgo</v>
          </cell>
          <cell r="G131" t="str">
            <v xml:space="preserve">5. GOBIERNO </v>
          </cell>
        </row>
        <row r="132">
          <cell r="D132" t="str">
            <v>Habitantes sensibilizados en gestión local del riesgo</v>
          </cell>
          <cell r="E132">
            <v>55</v>
          </cell>
          <cell r="F132" t="str">
            <v>Gestión para la prevención y mitigación del riesgo</v>
          </cell>
          <cell r="G132" t="str">
            <v xml:space="preserve">5. GOBIERNO </v>
          </cell>
        </row>
        <row r="133">
          <cell r="D133" t="str">
            <v xml:space="preserve">Dotaciones realizadas al CLE </v>
          </cell>
          <cell r="E133">
            <v>56</v>
          </cell>
          <cell r="F133" t="str">
            <v>Gestión para la prevención y mitigación del riesgo</v>
          </cell>
          <cell r="G133" t="str">
            <v xml:space="preserve">5. GOBIERNO </v>
          </cell>
        </row>
        <row r="134">
          <cell r="D134" t="str">
            <v>Personas vinculadas a campañas de promoción de reciclaje y disposición diferenciada de residuos sólidos</v>
          </cell>
          <cell r="E134">
            <v>57</v>
          </cell>
          <cell r="F134" t="str">
            <v xml:space="preserve">Manejo integral de residuos sólidos </v>
          </cell>
          <cell r="G134" t="str">
            <v>1. AMBIENTE</v>
          </cell>
        </row>
        <row r="135">
          <cell r="D135" t="str">
            <v>Iniciativas ambientales y de aprovechamiento de residuos  apoyadas</v>
          </cell>
          <cell r="E135">
            <v>58</v>
          </cell>
          <cell r="F135" t="str">
            <v xml:space="preserve">Manejo integral de residuos sólidos </v>
          </cell>
          <cell r="G135" t="str">
            <v>1. AMBIENTE</v>
          </cell>
        </row>
        <row r="136">
          <cell r="D136" t="str">
            <v>Arboles sembrados</v>
          </cell>
          <cell r="E136">
            <v>59</v>
          </cell>
          <cell r="F136" t="str">
            <v xml:space="preserve">Plantación y mantenimiento de arboles, jardines y especies vegetales </v>
          </cell>
          <cell r="G136" t="str">
            <v>1. AMBIENTE</v>
          </cell>
        </row>
        <row r="137">
          <cell r="D137" t="str">
            <v>Número de personas beneficiadas con campañas para el manejo y cuidado de animales</v>
          </cell>
          <cell r="E137">
            <v>60</v>
          </cell>
          <cell r="F137" t="str">
            <v>Calidad ambiental y preservación del patrimonio natural</v>
          </cell>
          <cell r="G137" t="str">
            <v>1. AMBIENTE</v>
          </cell>
        </row>
        <row r="138">
          <cell r="D138" t="str">
            <v xml:space="preserve">Personas  vinculadas a procesos de presupestos participativos </v>
          </cell>
          <cell r="E138">
            <v>61</v>
          </cell>
          <cell r="F138" t="str">
            <v xml:space="preserve">Espacios y procesos de participación ciudadana fortalecidos </v>
          </cell>
          <cell r="G138" t="str">
            <v xml:space="preserve">5. GOBIERNO </v>
          </cell>
        </row>
        <row r="139">
          <cell r="D139" t="str">
            <v>Personas vinculadas a procesos de promoción de la política de juventud</v>
          </cell>
          <cell r="E139">
            <v>62</v>
          </cell>
          <cell r="F139" t="str">
            <v xml:space="preserve">Espacios y procesos de participación ciudadana fortalecidos </v>
          </cell>
          <cell r="G139" t="str">
            <v>10. SDIS</v>
          </cell>
        </row>
        <row r="140">
          <cell r="D140" t="str">
            <v>Salones comunales dotados</v>
          </cell>
          <cell r="E140">
            <v>63</v>
          </cell>
          <cell r="F140" t="str">
            <v xml:space="preserve">Espacios y procesos de participación ciudadana fortalecidos </v>
          </cell>
          <cell r="G140" t="str">
            <v xml:space="preserve">5. GOBIERNO </v>
          </cell>
        </row>
        <row r="141">
          <cell r="D141" t="str">
            <v>Salones comunales construidos</v>
          </cell>
          <cell r="E141">
            <v>64</v>
          </cell>
          <cell r="F141" t="str">
            <v xml:space="preserve">Espacios y procesos de participación ciudadana fortalecidos </v>
          </cell>
          <cell r="G141" t="str">
            <v xml:space="preserve">5. GOBIERNO </v>
          </cell>
        </row>
        <row r="142">
          <cell r="D142" t="str">
            <v>Organizaciones sociales fortalecidas para la participación</v>
          </cell>
          <cell r="E142">
            <v>65</v>
          </cell>
          <cell r="F142" t="str">
            <v xml:space="preserve">Espacios y procesos de participación ciudadana fortalecidos </v>
          </cell>
          <cell r="G142" t="str">
            <v xml:space="preserve">5. GOBIERNO </v>
          </cell>
        </row>
        <row r="143">
          <cell r="D143" t="str">
            <v>Medios comunitarios apoyados</v>
          </cell>
          <cell r="E143">
            <v>66</v>
          </cell>
          <cell r="F143" t="str">
            <v xml:space="preserve">Espacios y procesos de participación ciudadana fortalecidos </v>
          </cell>
          <cell r="G143" t="str">
            <v xml:space="preserve">5. GOBIERNO </v>
          </cell>
        </row>
        <row r="144">
          <cell r="D144" t="str">
            <v>Personas vinculadas en exigibilidad de derecho a la salud</v>
          </cell>
          <cell r="E144">
            <v>67</v>
          </cell>
          <cell r="F144" t="str">
            <v xml:space="preserve">Espacios y procesos de participación ciudadana fortalecidos </v>
          </cell>
          <cell r="G144" t="str">
            <v>9. SALUD</v>
          </cell>
        </row>
        <row r="145">
          <cell r="D145" t="str">
            <v>Porcentaje de solicitudes sobre inspeccción, vigilancia y control para la convivencia intervenidas frente a las solicitadas</v>
          </cell>
          <cell r="E145">
            <v>68</v>
          </cell>
          <cell r="F145" t="str">
            <v>Prevención, atención y gestión del conflicto en la localidad</v>
          </cell>
          <cell r="G145" t="str">
            <v xml:space="preserve">5. GOBIERNO </v>
          </cell>
        </row>
        <row r="146">
          <cell r="D146" t="str">
            <v>Personas vinculadas a la promoción de espacios y/o campañas  para mejorar la convivencia y seguridad ciudadana</v>
          </cell>
          <cell r="E146">
            <v>69</v>
          </cell>
          <cell r="F146" t="str">
            <v>Prevención, atención y gestión del conflicto en la localidad</v>
          </cell>
          <cell r="G146" t="str">
            <v xml:space="preserve">5. GOBIERNO </v>
          </cell>
        </row>
        <row r="147">
          <cell r="D147" t="str">
            <v>Acciones realizadas para mejorar la seguridad</v>
          </cell>
          <cell r="E147">
            <v>70</v>
          </cell>
          <cell r="F147" t="str">
            <v>Prevención, atención y gestión del conflicto en la localidad</v>
          </cell>
          <cell r="G147" t="str">
            <v xml:space="preserve">5. GOBIERNO </v>
          </cell>
        </row>
        <row r="148">
          <cell r="D148" t="str">
            <v>Personas vinculadas en campañas para promover la participación y el control social</v>
          </cell>
          <cell r="E148">
            <v>71</v>
          </cell>
          <cell r="F148" t="str">
            <v>Espacios para el control social</v>
          </cell>
          <cell r="G148" t="str">
            <v xml:space="preserve">5. GOBIERNO </v>
          </cell>
        </row>
        <row r="149">
          <cell r="D149" t="str">
            <v>Acciones realizadas para la rendición de cuentas</v>
          </cell>
          <cell r="E149">
            <v>72</v>
          </cell>
          <cell r="F149" t="str">
            <v>Espacios para el control social</v>
          </cell>
          <cell r="G149" t="str">
            <v xml:space="preserve">5. GOBIERNO </v>
          </cell>
        </row>
        <row r="150">
          <cell r="D150" t="str">
            <v>Personas vinculadas a acciones para la prevención del consumo de SPA y otras sustancias</v>
          </cell>
          <cell r="E150">
            <v>73</v>
          </cell>
          <cell r="F150" t="str">
            <v>Promoción, prevención e intervención en salud</v>
          </cell>
          <cell r="G150" t="str">
            <v>9. SALUD</v>
          </cell>
        </row>
        <row r="151">
          <cell r="D151" t="str">
            <v>Personas vinculadas a  campañas de apoyo para mejorar la convivencia frente a las infracciones de control urbanístico y legal funcionamiento de los establecimientos de comercio</v>
          </cell>
          <cell r="E151">
            <v>74</v>
          </cell>
          <cell r="F151" t="str">
            <v>Infraestructura para la atención de servicio al ciudadano</v>
          </cell>
          <cell r="G151" t="str">
            <v xml:space="preserve">5. GOBIERNO 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SHIBA" refreshedDate="42768.760841550924" createdVersion="4" refreshedVersion="5" minRefreshableVersion="3" recordCount="33">
  <cacheSource type="worksheet">
    <worksheetSource ref="A2:BD35" sheet="Matriz Unificada de Seguimiento"/>
  </cacheSource>
  <cacheFields count="56">
    <cacheField name="No." numFmtId="0">
      <sharedItems containsSemiMixedTypes="0" containsString="0" containsNumber="1" containsInteger="1" minValue="12" maxValue="12"/>
    </cacheField>
    <cacheField name="LOCALIDAD" numFmtId="0">
      <sharedItems/>
    </cacheField>
    <cacheField name="Código Eje" numFmtId="0">
      <sharedItems containsSemiMixedTypes="0" containsString="0" containsNumber="1" containsInteger="1" minValue="1" maxValue="3" count="3">
        <n v="1"/>
        <n v="2"/>
        <n v="3"/>
      </sharedItems>
    </cacheField>
    <cacheField name="Eje" numFmtId="0">
      <sharedItems/>
    </cacheField>
    <cacheField name="Código Programa" numFmtId="0">
      <sharedItems containsSemiMixedTypes="0" containsString="0" containsNumber="1" containsInteger="1" minValue="1" maxValue="31" count="14">
        <n v="1"/>
        <n v="2"/>
        <n v="3"/>
        <n v="5"/>
        <n v="7"/>
        <n v="8"/>
        <n v="17"/>
        <n v="21"/>
        <n v="20"/>
        <n v="19"/>
        <n v="24"/>
        <n v="26"/>
        <n v="27"/>
        <n v="31"/>
      </sharedItems>
    </cacheField>
    <cacheField name="Programa" numFmtId="0">
      <sharedItems/>
    </cacheField>
    <cacheField name="Código meta PDL" numFmtId="0">
      <sharedItems containsSemiMixedTypes="0" containsString="0" containsNumber="1" containsInteger="1" minValue="638" maxValue="666" count="29"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</sharedItems>
    </cacheField>
    <cacheField name="Meta PDL" numFmtId="0">
      <sharedItems count="30" longText="1">
        <s v="Realizar cuatro (4) Acciones de intervención (adecuación, remodelación y dotación) en equipamientos de los espacios destinados o con vocación para la atención integral a la primera infancia en la localidad durante la vigencia del plan."/>
        <s v="Realizar cuatro (4) actividades lúdico-pedagógicas durante la vigencia del Plan"/>
        <s v="Vincular a cuatro mil ochocientas (4.800) personas de todos los grupos poblacionales, ciclo vital y enfoque diferencial mediante acciones de promoción de salud durante la vigencia del plan."/>
        <s v="Dotar a diez (10) instituciones educativas distritales de la localidad con elementos pedagógicos y/o medios educativos durante la vigencia del plan"/>
        <s v="Fortalecer veinte (20) instancias destinadas a la promoción, garantía y disfrute de los derechos de los jóvenes de la localidad durante la vigencia del plan."/>
        <s v="Vincular a cuatro mil (4000) personas pertenecientes a todos los grupos poblacionales, en acciones de prevención contra los distintos tipos de discriminación y violencias durante la vigencia del plan."/>
        <s v="Beneficiar a por lo menos 1000 personas mayores en condición de vulnerabilidad mediante la entrega de subsidios económicos durante la vigencia del plan"/>
        <s v="Realizar cuatro (4) acciones destinadas a fortalecer las capacidades y oportunidades de la población juvenil de la localidad durante la vigencia del plan."/>
        <s v="Adelantar dos (2) acciones de fortalecimiento a la justicia alternativa en la localidad durante la vigencia del plan. "/>
        <s v="Beneficiar a dos mil (2000) personas en procesos e iniciativas de formación, circulación, creación e investigación en arte, cultura y patrimonio durante la vigencia del plan."/>
        <s v="Vincular doce mil (12.000) personas de todos los grupos poblacionales, ciclo vital y enfoque diferencial, en actividades físicas, deportivas, recreativas y de formación durante la vigencia del plan."/>
        <s v="Diseñar y poner en funcionamiento  una (1) ruta turística en la localidad durante la vigencia del plan"/>
        <s v="Adecuar y mantener por lo menos dieciséis (16) equipamientos culturales y/o parques vecinales y de bolsillo durante la vigencia del plan."/>
        <s v="Realizar un (1) proceso integral para la preservación, conservación y recuperación de los cuerpos de agua  y la estructura ecológica principal de la localidad durante la vigencia del plan."/>
        <s v="Diseñar y adecuar un (1) corredor ambiental, cultural deportivo y turístico en el territorio local durante la vigencia del plan."/>
        <s v="Adelantar un (1) proceso de articulación entre la comunidad residente, recicladores, sector comercial e industrial, población flotante, y entidades competentes para mejorar la cultura de la separación de residuos y hábitos de consumo durante la vigencia del plan. "/>
        <s v="Realizar cuatro (4) procesos de formación en temas de manejo de riesgo a los integrantes del Comité Local de Emergencias y comunidad durante la vigencia del plan."/>
        <s v="Realizar una (1) dotación al Comité Local de Emergencias durante la vigencia del plan. "/>
        <s v="Mantener y/o rehabilitar setenta (70) kilómetros/carril de malla vial local durante la vigencia del Plan."/>
        <s v="Mantener, rehabilitar y/o construir veinte mil (20.000) metros cuadrados de espacio público local durante la vigencia del Plan."/>
        <s v="Fortalecer por lo menos veinte (20) instancias de participación, organizaciones sociales y Juntas de Acción Comunal durante la vigencia del plan."/>
        <s v="Apoyar una (1) estrategia con enfoque en la renovación urbana definida por las instancias de participación ciudadana durante la vigencia del Plan."/>
        <s v="Apoyar cuatro (4) procesos de presupuestos participativos durante la vigencia del plan."/>
        <s v="Realizar dos (2) eventos de rendición de cuentas al año."/>
        <s v="Realizar veinticuatro (24) ferias locales de servicios al ciudadano durante la vigencia del plan."/>
        <s v="Vincular ochocientas (800) personas mediante  actividades de convivencia y seguridad, resolución pacífica de conflictos y solidaridad ciudadana durante la vigencia del plan."/>
        <s v="Realizar una (1) campaña anual de difusión dirigida a la población local, en materia    de normatividad policiva, ambiental y urbana."/>
        <s v="Realizar una (1) acción anual para fortalecer los planes y/o proyectos relacionados con la prevención de delitos, violencia y la conflictividad cotidiana en la localidad."/>
        <s v="Implementar anualmente una estrategia_x000a_para fortalecer la capacidad operativa de la_x000a_administración local."/>
        <s v="Implementar anualmente una estrategia_x000d_para fortalecer la capacidad operativa de la_x000d_administración local." u="1"/>
      </sharedItems>
    </cacheField>
    <cacheField name="Código Indicador" numFmtId="0">
      <sharedItems containsMixedTypes="1" containsNumber="1" containsInteger="1" minValue="2" maxValue="76" count="25">
        <n v="2"/>
        <s v="N/A"/>
        <n v="5"/>
        <n v="4"/>
        <n v="7"/>
        <n v="18"/>
        <n v="16"/>
        <n v="19"/>
        <n v="25"/>
        <n v="24"/>
        <n v="32"/>
        <n v="28"/>
        <n v="35"/>
        <n v="58"/>
        <n v="55"/>
        <n v="56"/>
        <n v="46"/>
        <n v="51"/>
        <n v="65"/>
        <n v="61"/>
        <n v="72"/>
        <n v="69"/>
        <n v="74"/>
        <n v="75"/>
        <n v="76"/>
      </sharedItems>
    </cacheField>
    <cacheField name="Indicador Uificado" numFmtId="0">
      <sharedItems count="25">
        <s v="Equipamientos para la atención a la primera infancia dotados"/>
        <s v="No agrega"/>
        <s v="Personas benficiadas con ayudas técnicas"/>
        <s v="Personas vinculadas a acciones de promoción y prevención en salud "/>
        <s v="Planteles educativos dotados"/>
        <s v="Iniciativas juveniles apoyadas"/>
        <s v="Personas vinculadas a estrategias de prevencion de las violencias, violencia intrafamiliar y la discriminación"/>
        <s v="Personas con subsidio tipo C  beneficiadas"/>
        <s v="Personas capacitadas en formación informal artística, cultural y del patrimonio"/>
        <s v="Personas vinculadas a la oferta cultural"/>
        <s v="Personas vinculadas a la oferta recreativa y deportiva "/>
        <s v="Corredores cuturales, y/o turisticos diseñados y/o intervenidos"/>
        <s v="Parques vecinales y/o de bolsillo intervenidos "/>
        <s v="Iniciativas ambientales y de aprovechamiento de residuos  apoyadas"/>
        <s v="Habitantes sensibilizados en gestión local del riesgo"/>
        <s v="Dotaciones realizadas al CLE "/>
        <s v="Km/carril de malla vial local recuperados"/>
        <s v="m2 de espacio público recuperado"/>
        <s v="Organizaciones sociales fortalecidas para la participación"/>
        <s v="Personas  vinculadas a procesos de presupestos participativos "/>
        <s v="Acciones realizadas para la rendición de cuentas"/>
        <s v="Personas vinculadas a la promoción de espacios y/o campañas  para mejorar la convivencia y seguridad ciudadana"/>
        <s v="Personas vinculadas a  campañas de apoyo para mejorar la convivencia frente a las infracciones de control urbanístico y legal funcionamiento de los establecimientos de comercio"/>
        <s v="Ediles con pago de honorarios cubierto"/>
        <s v="Estrategias realizadas de fortalecimiento institucional"/>
      </sharedItems>
    </cacheField>
    <cacheField name="No. Proyecto" numFmtId="0">
      <sharedItems containsSemiMixedTypes="0" containsString="0" containsNumber="1" containsInteger="1" minValue="1016" maxValue="1076" count="15">
        <n v="1020"/>
        <n v="1016"/>
        <n v="1061"/>
        <n v="1063"/>
        <n v="1065"/>
        <n v="1066"/>
        <n v="1067"/>
        <n v="1069"/>
        <n v="1070"/>
        <n v="1071"/>
        <n v="1072"/>
        <n v="1073"/>
        <n v="1074"/>
        <n v="1075"/>
        <n v="1076"/>
      </sharedItems>
    </cacheField>
    <cacheField name="Nombre Proyecto" numFmtId="0">
      <sharedItems/>
    </cacheField>
    <cacheField name="Código meta proyecto" numFmtId="0">
      <sharedItems containsSemiMixedTypes="0" containsString="0" containsNumber="1" containsInteger="1" minValue="1" maxValue="9"/>
    </cacheField>
    <cacheField name="Proceso" numFmtId="0">
      <sharedItems/>
    </cacheField>
    <cacheField name="Magnitud" numFmtId="0">
      <sharedItems containsSemiMixedTypes="0" containsString="0" containsNumber="1" containsInteger="1" minValue="1" maxValue="20000"/>
    </cacheField>
    <cacheField name="Unidad de Medida" numFmtId="0">
      <sharedItems/>
    </cacheField>
    <cacheField name="Descripción" numFmtId="0">
      <sharedItems containsBlank="1"/>
    </cacheField>
    <cacheField name="Sector (Seleccionar de la Lista)" numFmtId="0">
      <sharedItems count="7">
        <s v="10. SDIS"/>
        <s v="4. EDUCACIÓN"/>
        <s v="9. SALUD"/>
        <s v="5. GOBIERNO "/>
        <s v="2. CULTURA Y RECREACIÓN"/>
        <s v="1. AMBIENTE"/>
        <s v="8. MOVILIDAD"/>
      </sharedItems>
    </cacheField>
    <cacheField name="Producto" numFmtId="0">
      <sharedItems count="19">
        <s v="Adecuación , habilitación y dotación de jardines"/>
        <s v="N/A"/>
        <s v="Promoción, prevención e intervención en salud"/>
        <s v="Infraestructura y dotación escolar"/>
        <s v="Protección  integral a personas y familias en situación de vulneración"/>
        <s v="Formación artística y cultural"/>
        <s v="Espacios artísticos y culturales"/>
        <s v="Eventos y actividades recreativas y deportivas"/>
        <s v="Promoción turística y posicionamiento de la localidad como destino turístico"/>
        <s v="Parques y escenarios deportivos"/>
        <s v="Manejo integral de residuos sólidos "/>
        <s v="Gestión para la prevención y mitigación del riesgo"/>
        <s v="Vías Locales"/>
        <s v="Espacio Publico"/>
        <s v="Espacios y procesos de participación ciudadana fortalecidos "/>
        <s v="Espacios para el control social"/>
        <s v="Prevención, atención y gestión del conflicto en la localidad"/>
        <s v="Infraestructura para la atención de servicio al ciudadano"/>
        <s v="Fortalecimiento institucional"/>
      </sharedItems>
    </cacheField>
    <cacheField name="Tipo de Meta" numFmtId="0">
      <sharedItems count="2">
        <s v="Suma"/>
        <s v="Constante"/>
      </sharedItems>
    </cacheField>
    <cacheField name="Ponderación de la meta de proyecto frente a la meta del Plan" numFmtId="9">
      <sharedItems containsSemiMixedTypes="0" containsString="0" containsNumber="1" minValue="0.15" maxValue="1"/>
    </cacheField>
    <cacheField name="Avance Acumulado contratado (Meta de Proyecto) %" numFmtId="9">
      <sharedItems containsSemiMixedTypes="0" containsString="0" containsNumber="1" minValue="0.55000000000000004" maxValue="2.7045454545454546"/>
    </cacheField>
    <cacheField name="% AVANCE META PLAN CONSOLIDADO (contratado)" numFmtId="9">
      <sharedItems containsSemiMixedTypes="0" containsString="0" containsNumber="1" minValue="0.18" maxValue="2.25"/>
    </cacheField>
    <cacheField name="Avance Acumulado real (Meta de Proyecto) %" numFmtId="9">
      <sharedItems containsSemiMixedTypes="0" containsString="0" containsNumber="1" minValue="0.31522727272727274" maxValue="2.25"/>
    </cacheField>
    <cacheField name="% AVANCE META PLAN CONSOLIDADO (ejecución real)" numFmtId="9">
      <sharedItems containsSemiMixedTypes="0" containsString="0" containsNumber="1" minValue="0.17337500000000003" maxValue="2.25"/>
    </cacheField>
    <cacheField name="Linea Base (PMR)" numFmtId="3">
      <sharedItems containsString="0" containsBlank="1" containsNumber="1" minValue="0" maxValue="15230"/>
    </cacheField>
    <cacheField name="2013" numFmtId="3">
      <sharedItems containsSemiMixedTypes="0" containsString="0" containsNumber="1" minValue="0" maxValue="5000"/>
    </cacheField>
    <cacheField name="2014" numFmtId="3">
      <sharedItems containsSemiMixedTypes="0" containsString="0" containsNumber="1" minValue="0" maxValue="5000"/>
    </cacheField>
    <cacheField name="2015" numFmtId="3">
      <sharedItems containsSemiMixedTypes="0" containsString="0" containsNumber="1" minValue="0" maxValue="5000"/>
    </cacheField>
    <cacheField name="2016" numFmtId="3">
      <sharedItems containsSemiMixedTypes="0" containsString="0" containsNumber="1" minValue="0" maxValue="5000"/>
    </cacheField>
    <cacheField name="Total" numFmtId="3">
      <sharedItems containsSemiMixedTypes="0" containsString="0" containsNumber="1" containsInteger="1" minValue="1" maxValue="20000"/>
    </cacheField>
    <cacheField name="2.013" numFmtId="3">
      <sharedItems containsSemiMixedTypes="0" containsString="0" containsNumber="1" minValue="0" maxValue="7773.26"/>
    </cacheField>
    <cacheField name="2.014" numFmtId="3">
      <sharedItems containsSemiMixedTypes="0" containsString="0" containsNumber="1" minValue="0" maxValue="3000"/>
    </cacheField>
    <cacheField name="2.015" numFmtId="3">
      <sharedItems containsSemiMixedTypes="0" containsString="0" containsNumber="1" minValue="0" maxValue="6534"/>
    </cacheField>
    <cacheField name="2.016" numFmtId="3">
      <sharedItems containsString="0" containsBlank="1" containsNumber="1" containsInteger="1" minValue="1" maxValue="10500"/>
    </cacheField>
    <cacheField name="Ejecucion fisica ACUMULADA" numFmtId="0">
      <sharedItems containsSemiMixedTypes="0" containsString="0" containsNumber="1" minValue="1" maxValue="26420.510000000002"/>
    </cacheField>
    <cacheField name="2.0132" numFmtId="3">
      <sharedItems containsSemiMixedTypes="0" containsString="0" containsNumber="1" minValue="0" maxValue="7773.26"/>
    </cacheField>
    <cacheField name="2.0142" numFmtId="3">
      <sharedItems containsSemiMixedTypes="0" containsString="0" containsNumber="1" minValue="0" maxValue="9012"/>
    </cacheField>
    <cacheField name="2.0152" numFmtId="3">
      <sharedItems containsSemiMixedTypes="0" containsString="0" containsNumber="1" minValue="0" maxValue="5785.9"/>
    </cacheField>
    <cacheField name="2.0162" numFmtId="3">
      <sharedItems containsString="0" containsBlank="1" containsNumber="1" containsInteger="1" minValue="0" maxValue="650"/>
    </cacheField>
    <cacheField name="Ejecucion fisica real ACUMULADA" numFmtId="3">
      <sharedItems containsSemiMixedTypes="0" containsString="0" containsNumber="1" minValue="1" maxValue="22571.160000000003"/>
    </cacheField>
    <cacheField name="2.0133" numFmtId="164">
      <sharedItems containsSemiMixedTypes="0" containsString="0" containsNumber="1" containsInteger="1" minValue="0" maxValue="6549923089"/>
    </cacheField>
    <cacheField name="2.0143" numFmtId="164">
      <sharedItems containsString="0" containsBlank="1" containsNumber="1" containsInteger="1" minValue="0" maxValue="8213320701"/>
    </cacheField>
    <cacheField name="2.0153" numFmtId="168">
      <sharedItems containsSemiMixedTypes="0" containsString="0" containsNumber="1" containsInteger="1" minValue="0" maxValue="4576708638"/>
    </cacheField>
    <cacheField name="2.0163" numFmtId="168">
      <sharedItems containsSemiMixedTypes="0" containsString="0" containsNumber="1" minValue="0" maxValue="12553759419"/>
    </cacheField>
    <cacheField name="Total Compromisos" numFmtId="168">
      <sharedItems containsSemiMixedTypes="0" containsString="0" containsNumber="1" minValue="0" maxValue="31893711847"/>
    </cacheField>
    <cacheField name="2.0134" numFmtId="168">
      <sharedItems containsSemiMixedTypes="0" containsString="0" containsNumber="1" containsInteger="1" minValue="0" maxValue="1548825361"/>
    </cacheField>
    <cacheField name="2.0144" numFmtId="168">
      <sharedItems containsString="0" containsBlank="1" containsNumber="1" containsInteger="1" minValue="11465000" maxValue="1745518770"/>
    </cacheField>
    <cacheField name="2.0154" numFmtId="168">
      <sharedItems containsSemiMixedTypes="0" containsString="0" containsNumber="1" minValue="0" maxValue="1778689332"/>
    </cacheField>
    <cacheField name="2.0164" numFmtId="168">
      <sharedItems containsSemiMixedTypes="0" containsString="0" containsNumber="1" containsInteger="1" minValue="0" maxValue="7201294771"/>
    </cacheField>
    <cacheField name="Total Giros" numFmtId="164">
      <sharedItems containsSemiMixedTypes="0" containsString="0" containsNumber="1" minValue="0" maxValue="11789469071"/>
    </cacheField>
    <cacheField name="2015 (CONTRATADO)" numFmtId="164">
      <sharedItems containsNonDate="0" containsString="0" containsBlank="1"/>
    </cacheField>
    <cacheField name="2015 (GIRADO)" numFmtId="164">
      <sharedItems containsNonDate="0" containsString="0" containsBlank="1"/>
    </cacheField>
    <cacheField name="TEMAS PRIORITARIOS (Seleccionar de la lista)" numFmtId="164">
      <sharedItems/>
    </cacheField>
    <cacheField name="Observaciones frente al cumplimiento de metas 2016" numFmtId="164">
      <sharedItems containsBlank="1"/>
    </cacheField>
    <cacheField name="Observaciones frente al cumplimiento de metas 2015" numFmtId="3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">
  <r>
    <n v="12"/>
    <s v="BARRIOS UNIDOS"/>
    <x v="0"/>
    <s v="EJE_UNO"/>
    <x v="0"/>
    <s v="Garantía del desarrollo integral de la primera infancia."/>
    <x v="0"/>
    <x v="0"/>
    <x v="0"/>
    <x v="0"/>
    <x v="0"/>
    <s v="PGI: Atención complementaria dirigida a la primera infancia, sus familias, sus cuidadores y maestros de Barrios Unidos."/>
    <n v="1"/>
    <s v="Dotar y/o adecuar"/>
    <n v="4"/>
    <s v="equipamentos"/>
    <s v="para la atención integral a la primera infancia"/>
    <x v="0"/>
    <x v="0"/>
    <x v="0"/>
    <n v="1"/>
    <n v="1"/>
    <n v="1"/>
    <n v="1"/>
    <n v="1"/>
    <n v="3"/>
    <n v="1"/>
    <n v="1"/>
    <n v="1"/>
    <n v="1"/>
    <n v="4"/>
    <n v="2"/>
    <n v="2"/>
    <n v="0"/>
    <m/>
    <n v="4"/>
    <n v="2"/>
    <n v="2"/>
    <n v="0"/>
    <m/>
    <n v="4"/>
    <n v="159143197"/>
    <n v="179355701"/>
    <n v="0"/>
    <n v="0"/>
    <n v="338498898"/>
    <n v="0"/>
    <m/>
    <n v="0"/>
    <n v="0"/>
    <n v="0"/>
    <m/>
    <m/>
    <s v="PRIMERA INFANCIA Y DOTACIÓN JARDINES"/>
    <m/>
    <m/>
  </r>
  <r>
    <n v="12"/>
    <s v="BARRIOS UNIDOS"/>
    <x v="0"/>
    <s v="EJE_UNO"/>
    <x v="0"/>
    <s v="Garantía del desarrollo integral de la primera infancia."/>
    <x v="1"/>
    <x v="1"/>
    <x v="1"/>
    <x v="1"/>
    <x v="0"/>
    <s v="PGI: Atención complementaria dirigida a la primera infancia, sus familias, sus cuidadores y maestros de Barrios Unidos."/>
    <n v="2"/>
    <s v="Realizar"/>
    <n v="4"/>
    <s v="actividades lúdico pedagógicas"/>
    <s v="dirigidas a los niños-as de la localidad"/>
    <x v="1"/>
    <x v="1"/>
    <x v="0"/>
    <n v="1"/>
    <n v="1.75"/>
    <n v="1.75"/>
    <n v="1"/>
    <n v="1"/>
    <m/>
    <n v="1"/>
    <n v="1"/>
    <n v="1"/>
    <n v="1"/>
    <n v="4"/>
    <n v="3"/>
    <n v="0"/>
    <n v="4"/>
    <m/>
    <n v="7"/>
    <n v="3"/>
    <n v="0"/>
    <n v="1"/>
    <m/>
    <n v="4"/>
    <n v="93410394"/>
    <m/>
    <n v="99600000"/>
    <n v="0"/>
    <n v="193010394"/>
    <n v="0"/>
    <m/>
    <n v="99600000"/>
    <n v="0"/>
    <n v="99600000"/>
    <m/>
    <m/>
    <s v="PRIMERA INFANCIA Y DOTACIÓN JARDINES"/>
    <m/>
    <s v="Crps: 380 No se le destinaron recursos  para la vigencia 2014"/>
  </r>
  <r>
    <n v="12"/>
    <s v="BARRIOS UNIDOS"/>
    <x v="0"/>
    <s v="EJE_UNO"/>
    <x v="1"/>
    <s v="Territorios saludables y red de salud para la vida desde la diversidad."/>
    <x v="2"/>
    <x v="2"/>
    <x v="2"/>
    <x v="2"/>
    <x v="1"/>
    <s v="PGI: Promoción, prevención y atención en salud para los habitantes de la localidad de Barrios Unidos."/>
    <n v="1"/>
    <s v="Beneficiar"/>
    <n v="400"/>
    <s v="personas en condiciones de discapacidad"/>
    <s v="con ayudas técnicas"/>
    <x v="2"/>
    <x v="2"/>
    <x v="0"/>
    <n v="0.45"/>
    <n v="0.55000000000000004"/>
    <n v="0.24750000000000003"/>
    <n v="0.625"/>
    <n v="0.28125"/>
    <n v="244"/>
    <n v="100"/>
    <n v="100"/>
    <n v="100"/>
    <n v="100"/>
    <n v="400"/>
    <n v="100"/>
    <n v="70"/>
    <n v="50"/>
    <m/>
    <n v="220"/>
    <n v="100"/>
    <n v="100"/>
    <n v="50"/>
    <m/>
    <n v="250"/>
    <n v="119051772"/>
    <n v="97043294"/>
    <n v="100000000"/>
    <n v="0"/>
    <n v="316095066"/>
    <n v="0"/>
    <m/>
    <n v="47000000"/>
    <n v="0"/>
    <n v="47000000"/>
    <m/>
    <m/>
    <s v="OTRAS INVERSIONES"/>
    <m/>
    <s v="Crps:  383 (100.000.000) Se llevó a cabo un ajuste en el avance de la meta pues inicialmente se habia reportado una cifra inflada de 187 personas beneficiadas."/>
  </r>
  <r>
    <n v="12"/>
    <s v="BARRIOS UNIDOS"/>
    <x v="0"/>
    <s v="EJE_UNO"/>
    <x v="1"/>
    <s v="Territorios saludables y red de salud para la vida desde la diversidad."/>
    <x v="2"/>
    <x v="2"/>
    <x v="3"/>
    <x v="3"/>
    <x v="1"/>
    <s v="PGI: Promoción, prevención y atención en salud para los habitantes de la localidad de Barrios Unidos."/>
    <n v="2"/>
    <s v="Vincular "/>
    <n v="4400"/>
    <s v="personas"/>
    <s v="a estrategias de prevención de la enfermedady promoción de la salud"/>
    <x v="2"/>
    <x v="2"/>
    <x v="0"/>
    <n v="0.55000000000000004"/>
    <n v="2.7045454545454546"/>
    <n v="1.4875"/>
    <n v="0.31522727272727274"/>
    <n v="0.17337500000000003"/>
    <n v="5996"/>
    <n v="1100"/>
    <n v="1100"/>
    <n v="1100"/>
    <n v="1100"/>
    <n v="4400"/>
    <n v="1200"/>
    <n v="0"/>
    <n v="200"/>
    <n v="10500"/>
    <n v="11900"/>
    <n v="1250"/>
    <n v="0"/>
    <n v="137"/>
    <m/>
    <n v="1387"/>
    <n v="274091000"/>
    <m/>
    <n v="100000000"/>
    <n v="183684821"/>
    <n v="557775821"/>
    <n v="79800000"/>
    <m/>
    <n v="47000000"/>
    <n v="0"/>
    <n v="126800000"/>
    <m/>
    <m/>
    <s v="OTRAS INVERSIONES"/>
    <s v="Crps: 619"/>
    <s v="Crps:  383 (100.000.000)"/>
  </r>
  <r>
    <n v="12"/>
    <s v="BARRIOS UNIDOS"/>
    <x v="0"/>
    <s v="EJE_UNO"/>
    <x v="2"/>
    <s v="Construcción de saberes. Educación inclusiva, diversa y de calidad para disfrutar y aprender desde la primera infancia."/>
    <x v="3"/>
    <x v="3"/>
    <x v="4"/>
    <x v="4"/>
    <x v="2"/>
    <s v="PGI: Garantía del derecho a la educación con calidad de la población de Barrios Unidos."/>
    <n v="1"/>
    <s v="Dotar"/>
    <n v="10"/>
    <s v="colegios  distritales de la localidad"/>
    <s v="de acuerdo a las necesidades de cada uno"/>
    <x v="1"/>
    <x v="3"/>
    <x v="0"/>
    <n v="1"/>
    <n v="1"/>
    <n v="1"/>
    <n v="1"/>
    <n v="1"/>
    <n v="10"/>
    <n v="10"/>
    <n v="0"/>
    <n v="0"/>
    <n v="0"/>
    <n v="10"/>
    <n v="10"/>
    <n v="0"/>
    <n v="0"/>
    <m/>
    <n v="10"/>
    <n v="10"/>
    <n v="0"/>
    <n v="0"/>
    <m/>
    <n v="10"/>
    <n v="152119320"/>
    <m/>
    <n v="0"/>
    <n v="0"/>
    <n v="152119320"/>
    <n v="0"/>
    <m/>
    <n v="0"/>
    <n v="0"/>
    <n v="0"/>
    <m/>
    <m/>
    <s v="OTRAS INVERSIONES"/>
    <m/>
    <s v="Esta meta ya está cumplida"/>
  </r>
  <r>
    <n v="12"/>
    <s v="BARRIOS UNIDOS"/>
    <x v="0"/>
    <s v="EJE_UNO"/>
    <x v="2"/>
    <s v="Construcción de saberes. Educación inclusiva, diversa y de calidad para disfrutar y aprender desde la primera infancia."/>
    <x v="4"/>
    <x v="4"/>
    <x v="5"/>
    <x v="5"/>
    <x v="2"/>
    <s v="PGI: Garantía del derecho a la educación con calidad de la población de Barrios Unidos."/>
    <n v="2"/>
    <s v="Fortalecer"/>
    <n v="20"/>
    <s v="instancias destinadas a la promoción, garantía y disfrute de los derechos de los niños, niñas y jóvenes de la localidad"/>
    <s v=" durante la vigencia del plan"/>
    <x v="0"/>
    <x v="4"/>
    <x v="0"/>
    <n v="1"/>
    <n v="1.1000000000000001"/>
    <n v="1.1000000000000001"/>
    <n v="1.1000000000000001"/>
    <n v="1.1000000000000001"/>
    <n v="0"/>
    <n v="10"/>
    <n v="5"/>
    <n v="5"/>
    <n v="0"/>
    <n v="20"/>
    <n v="17"/>
    <n v="5"/>
    <n v="0"/>
    <m/>
    <n v="22"/>
    <n v="17"/>
    <n v="5"/>
    <n v="0"/>
    <m/>
    <n v="22"/>
    <n v="45091917"/>
    <n v="72000000"/>
    <n v="0"/>
    <n v="0"/>
    <n v="117091917"/>
    <n v="0"/>
    <m/>
    <n v="0"/>
    <n v="0"/>
    <n v="0"/>
    <m/>
    <m/>
    <s v="OTRAS INVERSIONES"/>
    <m/>
    <m/>
  </r>
  <r>
    <n v="12"/>
    <s v="BARRIOS UNIDOS"/>
    <x v="0"/>
    <s v="EJE_UNO"/>
    <x v="3"/>
    <s v="Lucha contra distintos tipos de discriminación y violencias por condición, situación, identidad, diferencia, diversidad o etapa del ciclo vital."/>
    <x v="5"/>
    <x v="5"/>
    <x v="6"/>
    <x v="6"/>
    <x v="3"/>
    <s v="PGI: Barrios Unidos una localidad de capacidades y oportunidades incluyentes"/>
    <n v="7"/>
    <s v="Vincular"/>
    <n v="4000"/>
    <s v="personas"/>
    <s v="en acciones de prevención contra los distintos tipos de discriminación y violencias"/>
    <x v="0"/>
    <x v="4"/>
    <x v="0"/>
    <n v="1"/>
    <n v="1.04"/>
    <n v="1.04"/>
    <n v="0.79"/>
    <n v="0.79"/>
    <n v="4695"/>
    <n v="1000"/>
    <n v="1000"/>
    <n v="1000"/>
    <n v="1000"/>
    <n v="4000"/>
    <n v="1360"/>
    <n v="1200"/>
    <n v="600"/>
    <n v="1000"/>
    <n v="4160"/>
    <n v="1360"/>
    <n v="1200"/>
    <n v="600"/>
    <m/>
    <n v="3160"/>
    <n v="145931500"/>
    <n v="144580000"/>
    <n v="65000000"/>
    <n v="139257000"/>
    <n v="494768500"/>
    <n v="0"/>
    <m/>
    <n v="65000000"/>
    <n v="0"/>
    <n v="65000000"/>
    <m/>
    <m/>
    <s v="OTRAS INVERSIONES"/>
    <s v="CRPS:622"/>
    <s v="Crps: 384"/>
  </r>
  <r>
    <n v="12"/>
    <s v="BARRIOS UNIDOS"/>
    <x v="0"/>
    <s v="EJE_UNO"/>
    <x v="3"/>
    <s v="Lucha contra distintos tipos de discriminación y violencias por condición, situación, identidad, diferencia, diversidad o etapa del ciclo vital."/>
    <x v="6"/>
    <x v="6"/>
    <x v="7"/>
    <x v="7"/>
    <x v="3"/>
    <s v="PGI: Barrios Unidos una localidad de capacidades y oportunidades incluyentes"/>
    <n v="8"/>
    <s v="Beneficiar"/>
    <n v="1000"/>
    <s v="personas mayores"/>
    <s v="en condición de vulnerabilidad mediante la entrega de subsidios económicos"/>
    <x v="0"/>
    <x v="4"/>
    <x v="0"/>
    <n v="1"/>
    <n v="1.899"/>
    <n v="1.899"/>
    <n v="1.899"/>
    <n v="1.899"/>
    <n v="930"/>
    <n v="250"/>
    <n v="250"/>
    <n v="250"/>
    <n v="250"/>
    <n v="1000"/>
    <n v="250"/>
    <n v="350"/>
    <n v="649"/>
    <n v="650"/>
    <n v="1899"/>
    <n v="250"/>
    <n v="350"/>
    <n v="649"/>
    <n v="650"/>
    <n v="1899"/>
    <n v="441142361"/>
    <n v="341435016"/>
    <n v="825128161"/>
    <n v="1042766999"/>
    <n v="2650472537"/>
    <n v="289355277"/>
    <n v="297950502"/>
    <n v="696534596"/>
    <n v="923965321"/>
    <n v="2207805696"/>
    <m/>
    <m/>
    <s v="BONOS TIPO C"/>
    <s v="CRPS: 290, 298, 299, 246, 247, 356, 357, 358, 481, 482"/>
    <s v="Crps: 152, 153, 281, 285, 381, 382, 385"/>
  </r>
  <r>
    <n v="12"/>
    <s v="BARRIOS UNIDOS"/>
    <x v="0"/>
    <s v="EJE_UNO"/>
    <x v="3"/>
    <s v="Lucha contra distintos tipos de discriminación y violencias por condición, situación, identidad, diferencia, diversidad o etapa del ciclo vital."/>
    <x v="7"/>
    <x v="7"/>
    <x v="5"/>
    <x v="5"/>
    <x v="3"/>
    <s v="PGI: Barrios Unidos una localidad de capacidades y oportunidades incluyentes"/>
    <n v="9"/>
    <s v="Realizar"/>
    <n v="4"/>
    <s v="acciones"/>
    <s v="para fortalecer las capacidades y oportunidades de la población juvenil"/>
    <x v="0"/>
    <x v="4"/>
    <x v="0"/>
    <n v="1"/>
    <n v="2.25"/>
    <n v="2.25"/>
    <n v="2.25"/>
    <n v="2.25"/>
    <n v="3"/>
    <n v="1"/>
    <n v="1"/>
    <n v="1"/>
    <n v="1"/>
    <n v="4"/>
    <n v="2"/>
    <n v="1"/>
    <n v="0"/>
    <n v="6"/>
    <n v="9"/>
    <n v="2"/>
    <n v="1"/>
    <n v="0"/>
    <n v="6"/>
    <n v="9"/>
    <n v="365697201"/>
    <n v="191542193"/>
    <n v="0"/>
    <n v="63642000"/>
    <n v="620881394"/>
    <n v="185853230"/>
    <m/>
    <n v="0"/>
    <n v="0"/>
    <n v="185853230"/>
    <m/>
    <m/>
    <s v="OTRAS INVERSIONES"/>
    <s v="CRPS: 556"/>
    <m/>
  </r>
  <r>
    <n v="12"/>
    <s v="BARRIOS UNIDOS"/>
    <x v="0"/>
    <s v="EJE_UNO"/>
    <x v="4"/>
    <s v="Bogotá, un territorio que defiende, protege y promueve los derechos humanos."/>
    <x v="8"/>
    <x v="8"/>
    <x v="1"/>
    <x v="1"/>
    <x v="4"/>
    <s v="PEL: Promoción y fortalecimiento de los Derechos Humanos"/>
    <n v="1"/>
    <s v="Adelantar"/>
    <n v="2"/>
    <s v="acciones de fortalecimiento a la justicia alternativa"/>
    <s v="en la localidad durante la vigencia del plan"/>
    <x v="3"/>
    <x v="1"/>
    <x v="0"/>
    <n v="1"/>
    <n v="1"/>
    <n v="1"/>
    <n v="1"/>
    <n v="1"/>
    <m/>
    <n v="0"/>
    <n v="0"/>
    <n v="1"/>
    <n v="1"/>
    <n v="2"/>
    <n v="0"/>
    <n v="0"/>
    <n v="1"/>
    <n v="1"/>
    <n v="2"/>
    <n v="0"/>
    <n v="0"/>
    <n v="1"/>
    <n v="1"/>
    <n v="2"/>
    <n v="0"/>
    <m/>
    <n v="46400000"/>
    <n v="104756550"/>
    <n v="151156550"/>
    <n v="0"/>
    <m/>
    <n v="35313333"/>
    <n v="16266667"/>
    <n v="51580000"/>
    <m/>
    <m/>
    <s v="OTRAS INVERSIONES"/>
    <s v="CRPS: 30, 237, 617"/>
    <s v="Crps: 343, 344"/>
  </r>
  <r>
    <n v="12"/>
    <s v="BARRIOS UNIDOS"/>
    <x v="0"/>
    <s v="EJE_UNO"/>
    <x v="5"/>
    <s v="Ejercicio de libertades culturales y deportivas."/>
    <x v="9"/>
    <x v="9"/>
    <x v="8"/>
    <x v="8"/>
    <x v="5"/>
    <s v="PGI: Transformación y desarrollo a través de las prácticas culturales, recreativas y deportivas en Barrios Unidos."/>
    <n v="1"/>
    <s v="Vincular"/>
    <n v="600"/>
    <s v="personas"/>
    <s v="en arte, cultura y patrimonio"/>
    <x v="4"/>
    <x v="5"/>
    <x v="0"/>
    <n v="0.27"/>
    <n v="1.5"/>
    <n v="0.40500000000000003"/>
    <n v="1.25"/>
    <n v="0.33750000000000002"/>
    <n v="506"/>
    <n v="150"/>
    <n v="150"/>
    <n v="150"/>
    <n v="150"/>
    <n v="600"/>
    <n v="300"/>
    <n v="300"/>
    <n v="150"/>
    <n v="150"/>
    <n v="900"/>
    <n v="300"/>
    <n v="300"/>
    <n v="150"/>
    <m/>
    <n v="750"/>
    <n v="1336667"/>
    <n v="200000000"/>
    <n v="100404875"/>
    <n v="90000000"/>
    <n v="391741542"/>
    <n v="0"/>
    <m/>
    <n v="70283412.5"/>
    <n v="0"/>
    <n v="70283412.5"/>
    <m/>
    <m/>
    <s v="FORMACIÓN, EVENTOS CULTURALES y CARNAVAL"/>
    <s v="CRPS: 592"/>
    <s v="Crps: 329. El contrato 066 de 2014 cubre el cumplimiento de esta y otras dos metas del proyecto"/>
  </r>
  <r>
    <n v="12"/>
    <s v="BARRIOS UNIDOS"/>
    <x v="0"/>
    <s v="EJE_UNO"/>
    <x v="5"/>
    <s v="Ejercicio de libertades culturales y deportivas."/>
    <x v="9"/>
    <x v="9"/>
    <x v="9"/>
    <x v="9"/>
    <x v="5"/>
    <s v="PGI: Transformación y desarrollo a través de las prácticas culturales, recreativas y deportivas en Barrios Unidos."/>
    <n v="2"/>
    <s v="Vincular"/>
    <n v="1200"/>
    <s v="personas"/>
    <s v="a eventos culturales y artisticos"/>
    <x v="4"/>
    <x v="6"/>
    <x v="0"/>
    <n v="0.57999999999999996"/>
    <n v="1"/>
    <n v="0.57999999999999996"/>
    <n v="0.75"/>
    <n v="0.43499999999999994"/>
    <n v="604"/>
    <n v="300"/>
    <n v="300"/>
    <n v="300"/>
    <n v="300"/>
    <n v="1200"/>
    <n v="300"/>
    <n v="300"/>
    <n v="300"/>
    <n v="300"/>
    <n v="1200"/>
    <n v="300"/>
    <n v="300"/>
    <n v="300"/>
    <m/>
    <n v="900"/>
    <n v="247710116"/>
    <n v="305218411"/>
    <n v="200809750"/>
    <n v="90000000"/>
    <n v="843738277"/>
    <n v="119975231"/>
    <m/>
    <n v="140566825"/>
    <n v="0"/>
    <n v="260542056"/>
    <m/>
    <m/>
    <s v="FORMACIÓN, EVENTOS CULTURALES y CARNAVAL"/>
    <s v="CRPS: 592"/>
    <s v="Crps: 329 El contrato 066 de 2014 cubre el cumplimiento de esta y otras dos metas del proyecto"/>
  </r>
  <r>
    <n v="12"/>
    <s v="BARRIOS UNIDOS"/>
    <x v="0"/>
    <s v="EJE_UNO"/>
    <x v="5"/>
    <s v="Ejercicio de libertades culturales y deportivas."/>
    <x v="9"/>
    <x v="9"/>
    <x v="9"/>
    <x v="9"/>
    <x v="5"/>
    <s v="PGI: Transformación y desarrollo a través de las prácticas culturales, recreativas y deportivas en Barrios Unidos."/>
    <n v="3"/>
    <s v="Vincular"/>
    <n v="200"/>
    <s v="personas"/>
    <s v="a iniciativas culturales"/>
    <x v="4"/>
    <x v="6"/>
    <x v="0"/>
    <n v="0.15"/>
    <n v="1.2"/>
    <n v="0.18"/>
    <n v="1.8"/>
    <n v="0.27"/>
    <m/>
    <n v="50"/>
    <n v="50"/>
    <n v="50"/>
    <n v="50"/>
    <n v="200"/>
    <n v="50"/>
    <n v="50"/>
    <n v="90"/>
    <n v="50"/>
    <n v="240"/>
    <n v="50"/>
    <n v="220"/>
    <n v="90"/>
    <m/>
    <n v="360"/>
    <n v="230000000"/>
    <n v="400000000"/>
    <n v="100404875"/>
    <n v="90000000"/>
    <n v="820404875"/>
    <n v="69000000"/>
    <m/>
    <n v="70283412.5"/>
    <n v="0"/>
    <n v="139283412.5"/>
    <m/>
    <m/>
    <s v="FORMACIÓN, EVENTOS CULTURALES y CARNAVAL"/>
    <s v="CRPS: 592"/>
    <s v="Crps: 329. El contrato 066 de 2014 cubre el cumplimiento de esta y otras dos metas del proyecto"/>
  </r>
  <r>
    <n v="12"/>
    <s v="BARRIOS UNIDOS"/>
    <x v="0"/>
    <s v="EJE_UNO"/>
    <x v="5"/>
    <s v="Ejercicio de libertades culturales y deportivas."/>
    <x v="10"/>
    <x v="10"/>
    <x v="10"/>
    <x v="10"/>
    <x v="5"/>
    <s v="PGI: Transformación y desarrollo a través de las prácticas culturales, recreativas y deportivas en Barrios Unidos."/>
    <n v="4"/>
    <s v="Vincular"/>
    <n v="12000"/>
    <s v="personas"/>
    <s v="en actividades físicas, deportivas, recreativas y de formación"/>
    <x v="4"/>
    <x v="7"/>
    <x v="0"/>
    <n v="1"/>
    <n v="0.89200000000000002"/>
    <n v="0.89200000000000002"/>
    <n v="0.82199999999999995"/>
    <n v="0.82199999999999995"/>
    <n v="15230"/>
    <n v="3000"/>
    <n v="3000"/>
    <n v="3000"/>
    <n v="3000"/>
    <n v="12000"/>
    <n v="3904"/>
    <n v="3000"/>
    <n v="3000"/>
    <n v="800"/>
    <n v="10704"/>
    <n v="3500"/>
    <n v="3000"/>
    <n v="3164"/>
    <n v="200"/>
    <n v="9864"/>
    <n v="505212283"/>
    <n v="918567254"/>
    <n v="64716865"/>
    <n v="113400000"/>
    <n v="1601896402"/>
    <n v="0"/>
    <n v="79458707"/>
    <n v="38412197"/>
    <n v="0"/>
    <n v="117870904"/>
    <m/>
    <m/>
    <s v="OTRAS INVERSIONES"/>
    <s v="CRPS: 588"/>
    <s v="Crps: 363, 373, 377, 481"/>
  </r>
  <r>
    <n v="12"/>
    <s v="BARRIOS UNIDOS"/>
    <x v="0"/>
    <s v="EJE_UNO"/>
    <x v="5"/>
    <s v="Ejercicio de libertades culturales y deportivas."/>
    <x v="11"/>
    <x v="11"/>
    <x v="11"/>
    <x v="11"/>
    <x v="5"/>
    <s v="PGI: Transformación y desarrollo a través de las prácticas culturales, recreativas y deportivas en Barrios Unidos."/>
    <n v="5"/>
    <s v="Diseñar"/>
    <n v="1"/>
    <s v="ruta turistica"/>
    <s v="en la localidad"/>
    <x v="4"/>
    <x v="8"/>
    <x v="1"/>
    <n v="1"/>
    <n v="1"/>
    <n v="1"/>
    <n v="1"/>
    <n v="1"/>
    <m/>
    <n v="1"/>
    <n v="1"/>
    <n v="1"/>
    <n v="1"/>
    <n v="1"/>
    <n v="1"/>
    <n v="1"/>
    <n v="1"/>
    <m/>
    <n v="1"/>
    <n v="1"/>
    <n v="1"/>
    <n v="1"/>
    <m/>
    <n v="1"/>
    <n v="0"/>
    <m/>
    <n v="0"/>
    <n v="0"/>
    <n v="0"/>
    <n v="0"/>
    <m/>
    <n v="0"/>
    <n v="0"/>
    <n v="0"/>
    <m/>
    <m/>
    <s v="OTRAS INVERSIONES"/>
    <m/>
    <s v="En el 2013 se implementó a través del proyecto 1067. Para el 2014 se implementa a través del contrato 066"/>
  </r>
  <r>
    <n v="12"/>
    <s v="BARRIOS UNIDOS"/>
    <x v="0"/>
    <s v="EJE_UNO"/>
    <x v="5"/>
    <s v="Ejercicio de libertades culturales y deportivas."/>
    <x v="12"/>
    <x v="12"/>
    <x v="12"/>
    <x v="12"/>
    <x v="5"/>
    <s v="PGI: Transformación y desarrollo a través de las prácticas culturales, recreativas y deportivas en Barrios Unidos."/>
    <n v="6"/>
    <s v="Adecuar y mantener"/>
    <n v="16"/>
    <s v="equipamentos "/>
    <s v="culturales y/o parques vecinales y de bolsillo"/>
    <x v="4"/>
    <x v="9"/>
    <x v="0"/>
    <n v="1"/>
    <n v="1.1875"/>
    <n v="1.1875"/>
    <n v="1.1875"/>
    <n v="1.1875"/>
    <n v="13"/>
    <n v="4"/>
    <n v="4"/>
    <n v="4"/>
    <n v="4"/>
    <n v="16"/>
    <n v="6"/>
    <n v="10"/>
    <n v="3"/>
    <m/>
    <n v="19"/>
    <n v="6"/>
    <n v="10"/>
    <n v="3"/>
    <m/>
    <n v="19"/>
    <n v="889993043"/>
    <n v="1475390955"/>
    <n v="2000000100"/>
    <n v="0"/>
    <n v="4365384098"/>
    <n v="0"/>
    <m/>
    <n v="0"/>
    <n v="0"/>
    <n v="0"/>
    <m/>
    <m/>
    <s v="MANTENIMIENTO DE PARQUES VECINALES Y DE BOLSILLO"/>
    <m/>
    <s v="Crsp: 404, 458  Parques 2014: San Migule, Doce de Octubre, Metropolis, J Vargas, Viscaya 3, Popular Norte, Parque Central, Andes, Urbanización Entre Rios y Santa Mónica"/>
  </r>
  <r>
    <n v="12"/>
    <s v="BARRIOS UNIDOS"/>
    <x v="1"/>
    <s v="EJE_DOS"/>
    <x v="6"/>
    <s v="Recuperación, rehabilitación y restauración de la estructura ecológica principal y de los espacios del agua."/>
    <x v="13"/>
    <x v="13"/>
    <x v="13"/>
    <x v="13"/>
    <x v="6"/>
    <s v="PEL: Barrios Unidos por la recuperación de los espacios de agua."/>
    <n v="1"/>
    <s v="Realizar"/>
    <n v="1"/>
    <s v="proceso"/>
    <s v="integral para la preservación, conservación y recuperación de los cuerpos de agua y la estructura ecológica principal de la localidad"/>
    <x v="5"/>
    <x v="10"/>
    <x v="1"/>
    <n v="1"/>
    <n v="1"/>
    <n v="1"/>
    <n v="1"/>
    <n v="1"/>
    <m/>
    <n v="1"/>
    <n v="1"/>
    <n v="1"/>
    <n v="1"/>
    <n v="1"/>
    <n v="1"/>
    <n v="1"/>
    <n v="1"/>
    <m/>
    <n v="1"/>
    <n v="1"/>
    <n v="1"/>
    <n v="1"/>
    <m/>
    <n v="1"/>
    <n v="215651577"/>
    <n v="15200000"/>
    <n v="7600000"/>
    <n v="0"/>
    <n v="238451577"/>
    <n v="0"/>
    <m/>
    <n v="5866666"/>
    <n v="0"/>
    <n v="5866666"/>
    <m/>
    <m/>
    <s v="CUERPOS DE AGUA"/>
    <m/>
    <s v="Crps: 475"/>
  </r>
  <r>
    <n v="12"/>
    <s v="BARRIOS UNIDOS"/>
    <x v="1"/>
    <s v="EJE_DOS"/>
    <x v="6"/>
    <s v="Recuperación, rehabilitación y restauración de la estructura ecológica principal y de los espacios del agua."/>
    <x v="14"/>
    <x v="14"/>
    <x v="11"/>
    <x v="11"/>
    <x v="6"/>
    <s v="PEL: Barrios Unidos por la recuperación de los espacios de agua."/>
    <n v="2"/>
    <s v="Diseñar y adecuar"/>
    <n v="1"/>
    <s v="corredor"/>
    <s v="ambiental, cultural, deportivo y turistico en el territorio local"/>
    <x v="4"/>
    <x v="8"/>
    <x v="1"/>
    <n v="1"/>
    <n v="1"/>
    <n v="1"/>
    <n v="1"/>
    <n v="1"/>
    <m/>
    <n v="1"/>
    <n v="1"/>
    <n v="1"/>
    <n v="1"/>
    <n v="1"/>
    <n v="1"/>
    <n v="1"/>
    <n v="1"/>
    <m/>
    <n v="1"/>
    <n v="1"/>
    <n v="1"/>
    <n v="1"/>
    <m/>
    <n v="1"/>
    <n v="0"/>
    <m/>
    <n v="0"/>
    <n v="0"/>
    <n v="0"/>
    <n v="0"/>
    <m/>
    <n v="0"/>
    <n v="0"/>
    <n v="0"/>
    <m/>
    <m/>
    <s v="CUERPOS DE AGUA"/>
    <m/>
    <s v="Esta meta se cumple a través de gestión y por medio de contratos de otros proyectos"/>
  </r>
  <r>
    <n v="12"/>
    <s v="BARRIOS UNIDOS"/>
    <x v="1"/>
    <s v="EJE_DOS"/>
    <x v="7"/>
    <s v="Basura cero."/>
    <x v="15"/>
    <x v="15"/>
    <x v="13"/>
    <x v="13"/>
    <x v="7"/>
    <s v="PGI: Cultura de la no basura"/>
    <n v="1"/>
    <s v="Adelantar"/>
    <n v="1"/>
    <s v="proceso"/>
    <s v="de articulación entre la comunidad residente, recicladores, sector comercial e industrial, población flotante, y entidades competentes para mejorar la cultura de la separación de residuos y hábitos de consumo durante la vigencia del plan. "/>
    <x v="5"/>
    <x v="10"/>
    <x v="1"/>
    <n v="1"/>
    <n v="1"/>
    <n v="1"/>
    <n v="1"/>
    <n v="1"/>
    <m/>
    <n v="1"/>
    <n v="1"/>
    <n v="1"/>
    <n v="1"/>
    <n v="1"/>
    <n v="1"/>
    <n v="1"/>
    <n v="1"/>
    <n v="1"/>
    <n v="1"/>
    <n v="1"/>
    <n v="1"/>
    <n v="1"/>
    <n v="1"/>
    <n v="1"/>
    <n v="0"/>
    <n v="147089410"/>
    <n v="208861728"/>
    <n v="8618500"/>
    <n v="364569638"/>
    <n v="0"/>
    <m/>
    <n v="62548046"/>
    <n v="8618500"/>
    <n v="71166546"/>
    <m/>
    <m/>
    <s v="OTRAS INVERSIONES"/>
    <s v="CRPS: 18, 238, 305"/>
    <s v="Crps: 308, 339, 362, 370, 375, 460, 463, 470, 472"/>
  </r>
  <r>
    <n v="12"/>
    <s v="BARRIOS UNIDOS"/>
    <x v="1"/>
    <s v="EJE_DOS"/>
    <x v="8"/>
    <s v="Gestión integral de riesgos."/>
    <x v="16"/>
    <x v="16"/>
    <x v="14"/>
    <x v="14"/>
    <x v="8"/>
    <s v="PGI: Fortalecimiento de la gestión del riesgo local"/>
    <n v="1"/>
    <s v="Realizar"/>
    <n v="4"/>
    <s v="procesos"/>
    <s v="procesos de formación en temas de manejo de riesgo a los integrantes del Comité Local de Emergencias y comunidad"/>
    <x v="3"/>
    <x v="11"/>
    <x v="0"/>
    <n v="1"/>
    <n v="1"/>
    <n v="1"/>
    <n v="1"/>
    <n v="1"/>
    <n v="126"/>
    <n v="1"/>
    <n v="1"/>
    <n v="1"/>
    <n v="1"/>
    <n v="4"/>
    <n v="1"/>
    <n v="0"/>
    <n v="2"/>
    <n v="1"/>
    <n v="4"/>
    <n v="1"/>
    <n v="0"/>
    <n v="2"/>
    <n v="1"/>
    <n v="4"/>
    <n v="36768600"/>
    <m/>
    <n v="75350000"/>
    <n v="81030000"/>
    <n v="193148600"/>
    <n v="0"/>
    <m/>
    <n v="54642300"/>
    <n v="13450966"/>
    <n v="68093266"/>
    <m/>
    <m/>
    <s v="MITIGACIÓN- GESTIÓN DEL RIESGO"/>
    <s v="CRPS: 624"/>
    <s v="Crps: 289, 309, 333"/>
  </r>
  <r>
    <n v="12"/>
    <s v="BARRIOS UNIDOS"/>
    <x v="1"/>
    <s v="EJE_DOS"/>
    <x v="8"/>
    <s v="Gestión integral de riesgos."/>
    <x v="17"/>
    <x v="17"/>
    <x v="15"/>
    <x v="15"/>
    <x v="8"/>
    <s v="PGI: Fortalecimiento de la gestión del riesgo local"/>
    <n v="2"/>
    <s v="Realizar"/>
    <n v="1"/>
    <s v="dotación"/>
    <s v="al comité local de emergencias "/>
    <x v="3"/>
    <x v="11"/>
    <x v="0"/>
    <n v="1"/>
    <n v="2"/>
    <n v="2"/>
    <n v="2"/>
    <n v="2"/>
    <n v="2"/>
    <n v="0"/>
    <n v="0"/>
    <n v="1"/>
    <n v="0"/>
    <n v="1"/>
    <n v="0"/>
    <n v="0"/>
    <n v="1"/>
    <n v="1"/>
    <n v="2"/>
    <n v="0"/>
    <n v="0"/>
    <n v="1"/>
    <n v="1"/>
    <n v="2"/>
    <n v="0"/>
    <m/>
    <n v="0"/>
    <n v="13450966"/>
    <n v="13450966"/>
    <n v="0"/>
    <m/>
    <n v="0"/>
    <n v="0"/>
    <n v="0"/>
    <m/>
    <m/>
    <s v="MITIGACIÓN- GESTIÓN DEL RIESGO"/>
    <s v="CRPS:19, 235, 236"/>
    <s v="La meta en 2015 se cumple por gestión."/>
  </r>
  <r>
    <n v="12"/>
    <s v="BARRIOS UNIDOS"/>
    <x v="1"/>
    <s v="EJE_DOS"/>
    <x v="9"/>
    <s v="Movilidad Humana."/>
    <x v="18"/>
    <x v="18"/>
    <x v="16"/>
    <x v="16"/>
    <x v="9"/>
    <s v="PGI: Mejoramiento y ampliación de la malla vial y espacio público local"/>
    <n v="1"/>
    <s v="Mantener "/>
    <n v="70"/>
    <s v="km/carril"/>
    <s v="de malla vial local"/>
    <x v="6"/>
    <x v="12"/>
    <x v="0"/>
    <n v="1"/>
    <n v="0.81585714285714284"/>
    <n v="0.81585714285714284"/>
    <n v="0.55842857142857139"/>
    <n v="0.55842857142857139"/>
    <n v="31.1"/>
    <n v="17.5"/>
    <n v="17.5"/>
    <n v="17.5"/>
    <n v="17.5"/>
    <n v="70"/>
    <n v="17.5"/>
    <n v="18"/>
    <n v="11.61"/>
    <n v="10"/>
    <n v="57.11"/>
    <n v="17"/>
    <n v="17.989999999999998"/>
    <n v="4.0999999999999996"/>
    <n v="0"/>
    <n v="39.089999999999996"/>
    <n v="6549923089"/>
    <n v="8213320701"/>
    <n v="4576708638"/>
    <n v="12553759419"/>
    <n v="31893711847"/>
    <n v="1236170106"/>
    <n v="1745518770"/>
    <n v="1606485424"/>
    <n v="7201294771"/>
    <n v="11789469071"/>
    <m/>
    <m/>
    <s v="MALLA VIAL LOCAL Y  ESPACIO PUBLICO"/>
    <s v="Crps: 476, 597, 553, 599 "/>
    <s v="Crps:279, 161, 327,  549, 550, 471, 473_x000a_ Suspendido lo de 2013"/>
  </r>
  <r>
    <n v="12"/>
    <s v="BARRIOS UNIDOS"/>
    <x v="1"/>
    <s v="EJE_DOS"/>
    <x v="9"/>
    <s v="Movilidad Humana."/>
    <x v="19"/>
    <x v="19"/>
    <x v="17"/>
    <x v="17"/>
    <x v="9"/>
    <s v="PGI: Mejoramiento y ampliación de la malla vial y espacio público local"/>
    <n v="2"/>
    <s v="Rehabilitar"/>
    <n v="20000"/>
    <s v="m2"/>
    <s v="de espacio público"/>
    <x v="6"/>
    <x v="13"/>
    <x v="0"/>
    <n v="1"/>
    <n v="1.3210255000000002"/>
    <n v="1.3210255000000002"/>
    <n v="1.1285580000000002"/>
    <n v="1.1285580000000002"/>
    <n v="12820"/>
    <n v="5000"/>
    <n v="5000"/>
    <n v="5000"/>
    <n v="5000"/>
    <n v="20000"/>
    <n v="7773.26"/>
    <n v="2113.25"/>
    <n v="6534"/>
    <n v="10000"/>
    <n v="26420.510000000002"/>
    <n v="7773.26"/>
    <n v="9012"/>
    <n v="5785.9"/>
    <n v="0"/>
    <n v="22571.160000000003"/>
    <n v="1499973363"/>
    <n v="2578302890"/>
    <n v="4259783333"/>
    <n v="3142356222.8000002"/>
    <n v="11480415808.799999"/>
    <n v="0"/>
    <n v="459425442"/>
    <n v="1808733"/>
    <n v="0"/>
    <n v="461234175"/>
    <m/>
    <m/>
    <s v="MALLA VIAL LOCAL Y  ESPACIO PUBLICO"/>
    <s v="Crps: 553, 599 "/>
    <s v="Crps: 552, 553, 554, 557, 471, 473"/>
  </r>
  <r>
    <n v="12"/>
    <s v="BARRIOS UNIDOS"/>
    <x v="2"/>
    <s v="EJE_TRES"/>
    <x v="10"/>
    <s v="Bogotá Humana participa y decide."/>
    <x v="20"/>
    <x v="20"/>
    <x v="18"/>
    <x v="18"/>
    <x v="10"/>
    <s v="PEL: Por una participación real y decisiva."/>
    <n v="1"/>
    <s v="Fortalecer"/>
    <n v="20"/>
    <s v="instancias de participación, organizaciones sociales y juntas de acción comunal"/>
    <s v=" en forma técnica, logística y operativa para la participación ciudadana "/>
    <x v="3"/>
    <x v="14"/>
    <x v="0"/>
    <n v="1"/>
    <n v="1.8"/>
    <n v="1.8"/>
    <n v="1.55"/>
    <n v="1.55"/>
    <n v="36"/>
    <n v="10"/>
    <n v="5"/>
    <n v="5"/>
    <n v="0"/>
    <n v="20"/>
    <n v="25"/>
    <n v="6"/>
    <n v="5"/>
    <m/>
    <n v="36"/>
    <n v="25"/>
    <n v="1"/>
    <n v="5"/>
    <m/>
    <n v="31"/>
    <n v="147383000"/>
    <n v="161132556"/>
    <n v="222011898"/>
    <n v="0"/>
    <n v="530527454"/>
    <n v="0"/>
    <m/>
    <n v="110111197"/>
    <n v="0"/>
    <n v="110111197"/>
    <m/>
    <m/>
    <s v="OTRAS INVERSIONES"/>
    <m/>
    <s v="Crps: 280, 282, 409, 461, 464, 465, 468, 559"/>
  </r>
  <r>
    <n v="12"/>
    <s v="BARRIOS UNIDOS"/>
    <x v="2"/>
    <s v="EJE_TRES"/>
    <x v="10"/>
    <s v="Bogotá Humana participa y decide."/>
    <x v="21"/>
    <x v="21"/>
    <x v="18"/>
    <x v="18"/>
    <x v="10"/>
    <s v="PEL: Por una participación real y decisiva."/>
    <n v="2"/>
    <s v="Apoyar"/>
    <n v="1"/>
    <s v="estrategia con enfoque en la renovación urbana"/>
    <s v="definida por las instancias de participación ciudadana durante la vigencia del plan"/>
    <x v="3"/>
    <x v="14"/>
    <x v="1"/>
    <n v="1"/>
    <n v="1"/>
    <n v="1"/>
    <n v="1"/>
    <n v="1"/>
    <m/>
    <n v="1"/>
    <n v="1"/>
    <n v="1"/>
    <n v="1"/>
    <n v="1"/>
    <n v="1"/>
    <n v="1"/>
    <n v="1"/>
    <m/>
    <n v="1"/>
    <n v="1"/>
    <n v="1"/>
    <n v="1"/>
    <m/>
    <n v="1"/>
    <n v="45946954"/>
    <n v="0"/>
    <n v="0"/>
    <n v="0"/>
    <n v="45946954"/>
    <n v="0"/>
    <m/>
    <n v="0"/>
    <n v="0"/>
    <n v="0"/>
    <m/>
    <m/>
    <s v="OTRAS INVERSIONES"/>
    <m/>
    <s v="Esta meta se cumple a través del CRP 582"/>
  </r>
  <r>
    <n v="12"/>
    <s v="BARRIOS UNIDOS"/>
    <x v="2"/>
    <s v="EJE_TRES"/>
    <x v="10"/>
    <s v="Bogotá Humana participa y decide."/>
    <x v="22"/>
    <x v="22"/>
    <x v="19"/>
    <x v="19"/>
    <x v="10"/>
    <s v="PEL: Por una participación real y decisiva."/>
    <n v="3"/>
    <s v="Apoyar"/>
    <n v="4"/>
    <s v="procesos de presupuestos participativos"/>
    <s v="en forma técnica, logística y operativa para la participación ciudadana"/>
    <x v="3"/>
    <x v="14"/>
    <x v="0"/>
    <n v="1"/>
    <n v="0.75"/>
    <n v="0.75"/>
    <n v="0.75"/>
    <n v="0.75"/>
    <n v="2000"/>
    <n v="1"/>
    <n v="1"/>
    <n v="1"/>
    <n v="1"/>
    <n v="4"/>
    <n v="1"/>
    <n v="1"/>
    <n v="0"/>
    <n v="1"/>
    <n v="3"/>
    <n v="1"/>
    <n v="1"/>
    <n v="0"/>
    <n v="1"/>
    <n v="3"/>
    <n v="0"/>
    <n v="11500000"/>
    <n v="0"/>
    <n v="69653334"/>
    <n v="81153334"/>
    <n v="0"/>
    <n v="11465000"/>
    <n v="0"/>
    <n v="48757334"/>
    <n v="60222334"/>
    <m/>
    <m/>
    <s v="OTRAS INVERSIONES"/>
    <s v="CRPS: 335 (Se presentó una anulación por valor de 40.346.666)"/>
    <s v="Esta meta se cumple a través del CRP 582"/>
  </r>
  <r>
    <n v="12"/>
    <s v="BARRIOS UNIDOS"/>
    <x v="2"/>
    <s v="EJE_TRES"/>
    <x v="11"/>
    <s v="Transparencia, probidad, lucha contra la corrupción y control social efectivo e incluyente."/>
    <x v="23"/>
    <x v="23"/>
    <x v="20"/>
    <x v="20"/>
    <x v="11"/>
    <s v="PEL: Alcaldía Local al Barrio"/>
    <n v="1"/>
    <s v="Realizar"/>
    <n v="8"/>
    <s v="eventos de rendición de cuentas"/>
    <m/>
    <x v="3"/>
    <x v="15"/>
    <x v="0"/>
    <n v="1"/>
    <n v="0.75"/>
    <n v="0.75"/>
    <n v="0.75"/>
    <n v="0.75"/>
    <n v="4"/>
    <n v="2"/>
    <n v="2"/>
    <n v="2"/>
    <n v="2"/>
    <n v="8"/>
    <n v="2"/>
    <n v="2"/>
    <n v="2"/>
    <m/>
    <n v="6"/>
    <n v="2"/>
    <n v="2"/>
    <n v="2"/>
    <m/>
    <n v="6"/>
    <n v="22952801"/>
    <m/>
    <n v="0"/>
    <n v="0"/>
    <n v="22952801"/>
    <n v="7925150"/>
    <m/>
    <n v="0"/>
    <n v="0"/>
    <n v="7925150"/>
    <m/>
    <m/>
    <s v="OTRAS INVERSIONES"/>
    <m/>
    <s v="Apoyo logistico para la rendición de cuentas. PARA EL 2014 LA RENDICIÓN DE CUENTAS SE CONTRATO A TRAVÉS DEL PYCTO 1072. En el año 2015 se ejecutò la meta por gestiòn, el reporte de avance de esta meta solo queda realizado en la MUSI y no en segplan, pues en este ùlitmo no se puede reportar avance de meta si no hay ejecuciòn de recursos."/>
  </r>
  <r>
    <n v="12"/>
    <s v="BARRIOS UNIDOS"/>
    <x v="2"/>
    <s v="EJE_TRES"/>
    <x v="11"/>
    <s v="Transparencia, probidad, lucha contra la corrupción y control social efectivo e incluyente."/>
    <x v="24"/>
    <x v="24"/>
    <x v="1"/>
    <x v="1"/>
    <x v="11"/>
    <s v="PEL: Alcaldía Local al Barrio"/>
    <n v="2"/>
    <s v="Apoyar"/>
    <n v="24"/>
    <s v="ferias locales de servicios "/>
    <s v="de forma técnica, logística y operativa"/>
    <x v="3"/>
    <x v="1"/>
    <x v="0"/>
    <n v="1"/>
    <n v="1.1666666666666667"/>
    <n v="1.1666666666666667"/>
    <n v="1.1666666666666667"/>
    <n v="1.1666666666666667"/>
    <m/>
    <n v="6"/>
    <n v="6"/>
    <n v="6"/>
    <n v="6"/>
    <n v="24"/>
    <n v="7"/>
    <n v="8"/>
    <n v="13"/>
    <m/>
    <n v="28"/>
    <n v="7"/>
    <n v="8"/>
    <n v="13"/>
    <m/>
    <n v="28"/>
    <n v="22785600"/>
    <m/>
    <n v="0"/>
    <n v="0"/>
    <n v="22785600"/>
    <n v="0"/>
    <m/>
    <n v="0"/>
    <n v="0"/>
    <n v="0"/>
    <m/>
    <m/>
    <s v="OTRAS INVERSIONES"/>
    <m/>
    <s v="Se cumple a través de gestión pero el reporte solo se lleva a cabo en la MUSI pues en segplan no se deja reportar al no tener recursos relacionados. "/>
  </r>
  <r>
    <n v="12"/>
    <s v="BARRIOS UNIDOS"/>
    <x v="2"/>
    <s v="EJE_TRES"/>
    <x v="12"/>
    <s v="Territorios de vida y paz con prevención del delito."/>
    <x v="25"/>
    <x v="25"/>
    <x v="21"/>
    <x v="21"/>
    <x v="12"/>
    <s v="PEL: Comprometidos con la convivencia y la seguridad del territorio local"/>
    <n v="1"/>
    <s v="Vincular"/>
    <n v="800"/>
    <s v="personas"/>
    <s v="mediante  actividades de convivencia y seguridad, resolución pacífica de conflictos y solidaridad ciudadana"/>
    <x v="3"/>
    <x v="16"/>
    <x v="0"/>
    <n v="1"/>
    <n v="1"/>
    <n v="1"/>
    <n v="1"/>
    <n v="1"/>
    <n v="2500"/>
    <n v="200"/>
    <n v="200"/>
    <n v="200"/>
    <n v="200"/>
    <n v="800"/>
    <n v="200"/>
    <n v="200"/>
    <n v="200"/>
    <n v="200"/>
    <n v="800"/>
    <n v="200"/>
    <n v="200"/>
    <n v="200"/>
    <n v="200"/>
    <n v="800"/>
    <n v="107192985"/>
    <n v="74650000"/>
    <n v="127440000"/>
    <n v="200460000"/>
    <n v="509742985"/>
    <n v="0"/>
    <m/>
    <n v="41165978"/>
    <n v="18000000"/>
    <n v="59165978"/>
    <m/>
    <m/>
    <s v="CASAS DE JUSTICIA"/>
    <s v="CRPS: 5, 6, 596"/>
    <s v="Crps:  410, 513, 521  Se anuló el contrato 120 "/>
  </r>
  <r>
    <n v="12"/>
    <s v="BARRIOS UNIDOS"/>
    <x v="2"/>
    <s v="EJE_TRES"/>
    <x v="12"/>
    <s v="Territorios de vida y paz con prevención del delito."/>
    <x v="26"/>
    <x v="26"/>
    <x v="22"/>
    <x v="22"/>
    <x v="12"/>
    <s v="PEL: Comprometidos con la convivencia y la seguridad del territorio local"/>
    <n v="2"/>
    <s v="Realizar"/>
    <n v="4"/>
    <s v="campañas de difusión"/>
    <s v="en materia de normatividad policiva, ambiental y urbana"/>
    <x v="3"/>
    <x v="17"/>
    <x v="0"/>
    <n v="1"/>
    <n v="1.75"/>
    <n v="1.75"/>
    <n v="1.75"/>
    <n v="1.75"/>
    <n v="0"/>
    <n v="1"/>
    <n v="1"/>
    <n v="1"/>
    <n v="1"/>
    <n v="4"/>
    <n v="1"/>
    <n v="1"/>
    <n v="4"/>
    <n v="1"/>
    <n v="7"/>
    <n v="1"/>
    <n v="1"/>
    <n v="4"/>
    <n v="1"/>
    <n v="7"/>
    <n v="38498065"/>
    <n v="30000000"/>
    <n v="104000000"/>
    <n v="10000000"/>
    <n v="182498065"/>
    <n v="0"/>
    <m/>
    <n v="72766673"/>
    <n v="10000000"/>
    <n v="82766673"/>
    <m/>
    <m/>
    <s v="CASAS DE JUSTICIA"/>
    <s v="CRPS: 16, 49"/>
    <s v="Crps: 287, 288, 336, 512"/>
  </r>
  <r>
    <n v="12"/>
    <s v="BARRIOS UNIDOS"/>
    <x v="2"/>
    <s v="EJE_TRES"/>
    <x v="12"/>
    <s v="Territorios de vida y paz con prevención del delito."/>
    <x v="27"/>
    <x v="27"/>
    <x v="1"/>
    <x v="1"/>
    <x v="13"/>
    <s v="PEL: Fortalecimiento de la seguridad local"/>
    <n v="1"/>
    <s v="Adelantar"/>
    <n v="4"/>
    <s v="acciones"/>
    <s v="para fortalecer los planes y/o proyectos relacionados con la prevención de delitos, violencia y la conflictividad cotidiana en la localidad."/>
    <x v="3"/>
    <x v="1"/>
    <x v="0"/>
    <n v="1"/>
    <n v="1.5"/>
    <n v="1.5"/>
    <n v="1"/>
    <n v="1"/>
    <m/>
    <n v="1"/>
    <n v="1"/>
    <n v="1"/>
    <n v="1"/>
    <n v="4"/>
    <n v="4"/>
    <n v="1"/>
    <n v="1"/>
    <m/>
    <n v="6"/>
    <n v="2"/>
    <n v="1"/>
    <n v="1"/>
    <m/>
    <n v="4"/>
    <n v="147937396"/>
    <n v="100000000"/>
    <n v="48146561"/>
    <n v="0"/>
    <n v="296083957"/>
    <n v="42372396"/>
    <m/>
    <n v="48146561"/>
    <n v="0"/>
    <n v="90518957"/>
    <m/>
    <m/>
    <s v="CASAS DE JUSTICIA"/>
    <m/>
    <s v="Crps: 386 (ANULACION POR 1.800.439)"/>
  </r>
  <r>
    <n v="12"/>
    <s v="BARRIOS UNIDOS"/>
    <x v="2"/>
    <s v="EJE_TRES"/>
    <x v="13"/>
    <s v="Fortalecimiento de la función administrativa y desarrollo institucional."/>
    <x v="28"/>
    <x v="28"/>
    <x v="23"/>
    <x v="23"/>
    <x v="14"/>
    <s v="Fortalecimiento de la gestión y compromiso con la ética pública"/>
    <n v="1"/>
    <s v="Garantizar"/>
    <n v="100"/>
    <s v="por ciento"/>
    <s v="de los honorarios de los ediles"/>
    <x v="3"/>
    <x v="18"/>
    <x v="1"/>
    <n v="0.5"/>
    <n v="1"/>
    <n v="0.5"/>
    <n v="1"/>
    <n v="0.5"/>
    <n v="9"/>
    <n v="100"/>
    <n v="100"/>
    <n v="100"/>
    <n v="100"/>
    <n v="100"/>
    <n v="100"/>
    <n v="100"/>
    <n v="100"/>
    <n v="100"/>
    <n v="100"/>
    <n v="100"/>
    <n v="100"/>
    <n v="100"/>
    <n v="100"/>
    <n v="100"/>
    <n v="503335722"/>
    <n v="570506180"/>
    <n v="600223252"/>
    <n v="643822152"/>
    <n v="2317887306"/>
    <n v="503335722"/>
    <n v="570506180"/>
    <n v="600223252"/>
    <n v="643822152"/>
    <n v="2317887306"/>
    <m/>
    <m/>
    <s v="OTRAS INVERSIONES"/>
    <m/>
    <m/>
  </r>
  <r>
    <n v="12"/>
    <s v="BARRIOS UNIDOS"/>
    <x v="2"/>
    <s v="EJE_TRES"/>
    <x v="13"/>
    <s v="Fortalecimiento de la función administrativa y desarrollo institucional."/>
    <x v="28"/>
    <x v="28"/>
    <x v="24"/>
    <x v="24"/>
    <x v="14"/>
    <s v="Fortalecimiento de la gestión y compromiso con la ética pública"/>
    <n v="2"/>
    <s v="Garantizar"/>
    <n v="100"/>
    <s v="por ciento"/>
    <s v="de los recursos asignados a fortalecimiento institucional"/>
    <x v="3"/>
    <x v="18"/>
    <x v="1"/>
    <n v="0.5"/>
    <n v="1"/>
    <n v="0.5"/>
    <n v="1"/>
    <n v="0.5"/>
    <m/>
    <n v="100"/>
    <n v="100"/>
    <n v="100"/>
    <n v="100"/>
    <n v="100"/>
    <n v="100"/>
    <n v="100"/>
    <n v="100"/>
    <n v="100"/>
    <n v="100"/>
    <n v="100"/>
    <n v="100"/>
    <n v="100"/>
    <n v="100"/>
    <n v="100"/>
    <n v="3033067935"/>
    <n v="2312982599"/>
    <n v="2432949000"/>
    <n v="2341933278"/>
    <n v="10120932812"/>
    <n v="1548825361"/>
    <n v="1694881799"/>
    <n v="1778689332"/>
    <n v="1421269198"/>
    <n v="6443665690"/>
    <m/>
    <m/>
    <s v="CONTROL URBANÍSTICO- DESCONGESTIÓN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4" indent="0" compact="0" compactData="0" gridDropZones="1" multipleFieldFilters="0">
  <location ref="A3:Q29" firstHeaderRow="1" firstDataRow="2" firstDataCol="4"/>
  <pivotFields count="56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5">
        <item x="0"/>
        <item x="3"/>
        <item x="2"/>
        <item x="4"/>
        <item x="6"/>
        <item x="5"/>
        <item x="7"/>
        <item x="9"/>
        <item x="8"/>
        <item x="11"/>
        <item x="10"/>
        <item x="12"/>
        <item x="16"/>
        <item x="17"/>
        <item x="14"/>
        <item x="15"/>
        <item x="13"/>
        <item x="19"/>
        <item x="18"/>
        <item x="21"/>
        <item x="20"/>
        <item x="22"/>
        <item x="23"/>
        <item x="24"/>
        <item x="1"/>
      </items>
    </pivotField>
    <pivotField axis="axisRow" compact="0" outline="0" showAll="0">
      <items count="26">
        <item x="20"/>
        <item x="11"/>
        <item x="15"/>
        <item x="23"/>
        <item x="0"/>
        <item x="24"/>
        <item x="14"/>
        <item x="13"/>
        <item x="5"/>
        <item x="16"/>
        <item x="17"/>
        <item x="1"/>
        <item x="18"/>
        <item x="12"/>
        <item x="19"/>
        <item x="2"/>
        <item x="8"/>
        <item x="7"/>
        <item x="22"/>
        <item x="3"/>
        <item x="6"/>
        <item x="9"/>
        <item x="10"/>
        <item x="21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7">
        <item x="5"/>
        <item x="0"/>
        <item x="4"/>
        <item x="1"/>
        <item x="3"/>
        <item x="6"/>
        <item x="2"/>
      </items>
    </pivotField>
    <pivotField axis="axisRow" compact="0" outline="0" showAll="0" defaultSubtotal="0">
      <items count="19">
        <item x="0"/>
        <item x="13"/>
        <item x="6"/>
        <item x="15"/>
        <item x="14"/>
        <item x="7"/>
        <item x="5"/>
        <item x="18"/>
        <item x="11"/>
        <item x="17"/>
        <item x="3"/>
        <item x="10"/>
        <item h="1" x="1"/>
        <item x="9"/>
        <item x="16"/>
        <item x="8"/>
        <item x="2"/>
        <item x="4"/>
        <item x="12"/>
      </items>
    </pivotField>
    <pivotField compact="0" outline="0" showAll="0"/>
    <pivotField compact="0" numFmtId="9" outline="0" showAll="0"/>
    <pivotField compact="0" outline="0" showAll="0"/>
    <pivotField compact="0" numFmtId="9" outline="0" showAll="0"/>
    <pivotField compact="0" numFmtId="9" outline="0" showAll="0"/>
    <pivotField compact="0" numFmtId="9" outline="0" showAll="0"/>
    <pivotField dataField="1" compact="0" outline="0" showAll="0"/>
    <pivotField dataField="1" compact="0" numFmtId="3" outline="0" showAll="0"/>
    <pivotField dataField="1" compact="0" numFmtId="3" outline="0" showAll="0"/>
    <pivotField dataField="1" compact="0" numFmtId="3" outline="0" showAll="0"/>
    <pivotField dataField="1" compact="0" numFmtId="3" outline="0" showAll="0"/>
    <pivotField compact="0" numFmtId="3" outline="0" showAll="0"/>
    <pivotField dataField="1" compact="0" numFmtId="3" outline="0" showAll="0"/>
    <pivotField dataField="1" compact="0" numFmtId="3" outline="0" showAll="0"/>
    <pivotField dataField="1" compact="0" numFmtId="3" outline="0" showAll="0"/>
    <pivotField dataField="1" compact="0" numFmtId="3" outline="0" showAll="0"/>
    <pivotField compact="0" outline="0" showAll="0"/>
    <pivotField dataField="1" compact="0" numFmtId="3" outline="0" showAll="0"/>
    <pivotField dataField="1" compact="0" numFmtId="3" outline="0" showAll="0"/>
    <pivotField dataField="1" compact="0" numFmtId="3" outline="0" showAll="0"/>
    <pivotField dataField="1" compact="0" numFmtId="3" outline="0" showAll="0"/>
    <pivotField compact="0" numFmtId="3" outline="0" showAll="0"/>
    <pivotField compact="0" numFmtId="164" outline="0" showAll="0"/>
    <pivotField compact="0" outline="0" showAll="0"/>
    <pivotField compact="0" numFmtId="168" outline="0" showAll="0"/>
    <pivotField compact="0" numFmtId="168" outline="0" showAll="0"/>
    <pivotField compact="0" numFmtId="168" outline="0" showAll="0"/>
    <pivotField compact="0" numFmtId="168" outline="0" showAll="0"/>
    <pivotField compact="0" outline="0" showAll="0"/>
    <pivotField compact="0" numFmtId="168" outline="0" showAll="0"/>
    <pivotField compact="0" numFmtId="164" outline="0" showAll="0"/>
    <pivotField compact="0" numFmtId="164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</pivotFields>
  <rowFields count="4">
    <field x="17"/>
    <field x="18"/>
    <field x="8"/>
    <field x="9"/>
  </rowFields>
  <rowItems count="25">
    <i>
      <x/>
      <x v="11"/>
      <x v="16"/>
      <x v="7"/>
    </i>
    <i>
      <x v="1"/>
      <x/>
      <x/>
      <x v="4"/>
    </i>
    <i r="1">
      <x v="17"/>
      <x v="4"/>
      <x v="20"/>
    </i>
    <i r="2">
      <x v="5"/>
      <x v="8"/>
    </i>
    <i r="2">
      <x v="6"/>
      <x v="17"/>
    </i>
    <i>
      <x v="2"/>
      <x v="2"/>
      <x v="7"/>
      <x v="21"/>
    </i>
    <i r="1">
      <x v="5"/>
      <x v="10"/>
      <x v="22"/>
    </i>
    <i r="1">
      <x v="6"/>
      <x v="8"/>
      <x v="16"/>
    </i>
    <i r="1">
      <x v="13"/>
      <x v="11"/>
      <x v="13"/>
    </i>
    <i r="1">
      <x v="15"/>
      <x v="9"/>
      <x v="1"/>
    </i>
    <i>
      <x v="3"/>
      <x v="10"/>
      <x v="3"/>
      <x v="24"/>
    </i>
    <i>
      <x v="4"/>
      <x v="3"/>
      <x v="20"/>
      <x/>
    </i>
    <i r="1">
      <x v="4"/>
      <x v="17"/>
      <x v="14"/>
    </i>
    <i r="2">
      <x v="18"/>
      <x v="12"/>
    </i>
    <i r="1">
      <x v="7"/>
      <x v="22"/>
      <x v="3"/>
    </i>
    <i r="2">
      <x v="23"/>
      <x v="5"/>
    </i>
    <i r="1">
      <x v="8"/>
      <x v="14"/>
      <x v="6"/>
    </i>
    <i r="2">
      <x v="15"/>
      <x v="2"/>
    </i>
    <i r="1">
      <x v="9"/>
      <x v="21"/>
      <x v="18"/>
    </i>
    <i r="1">
      <x v="14"/>
      <x v="19"/>
      <x v="23"/>
    </i>
    <i>
      <x v="5"/>
      <x v="1"/>
      <x v="13"/>
      <x v="10"/>
    </i>
    <i r="1">
      <x v="18"/>
      <x v="12"/>
      <x v="9"/>
    </i>
    <i>
      <x v="6"/>
      <x v="16"/>
      <x v="1"/>
      <x v="19"/>
    </i>
    <i r="2">
      <x v="2"/>
      <x v="15"/>
    </i>
    <i t="grand">
      <x/>
    </i>
  </rowItems>
  <colFields count="1">
    <field x="-2"/>
  </colFields>
  <col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colItems>
  <dataFields count="13">
    <dataField name="Suma de Linea Base (PMR)" fld="25" baseField="0" baseItem="0"/>
    <dataField name="Suma de 2013" fld="26" baseField="0" baseItem="0"/>
    <dataField name="Suma de 2014" fld="27" baseField="0" baseItem="0"/>
    <dataField name="Suma de 2015" fld="28" baseField="0" baseItem="0"/>
    <dataField name="Suma de 2016" fld="29" baseField="0" baseItem="0"/>
    <dataField name="Suma de 2.013" fld="31" baseField="0" baseItem="0"/>
    <dataField name="Suma de 2.014" fld="32" baseField="0" baseItem="0"/>
    <dataField name="Suma de 2.015" fld="33" baseField="0" baseItem="0"/>
    <dataField name="Suma de 2.016" fld="34" baseField="0" baseItem="0"/>
    <dataField name="Suma de 2.0132" fld="36" baseField="0" baseItem="0"/>
    <dataField name="Suma de 2.0142" fld="37" baseField="0" baseItem="0"/>
    <dataField name="Suma de 2.0152" fld="38" baseField="0" baseItem="0"/>
    <dataField name="Suma de 2.0162" fld="39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4" indent="0" compact="0" compactData="0" gridDropZones="1" multipleFieldFilters="0">
  <location ref="A3:F34" firstHeaderRow="1" firstDataRow="2" firstDataCol="4"/>
  <pivotFields count="56">
    <pivotField compact="0" outline="0" showAll="0"/>
    <pivotField compact="0" outline="0" showAll="0"/>
    <pivotField axis="axisRow" compact="0" outline="0" showAll="0" defaultSubtotal="0">
      <items count="3">
        <item x="0"/>
        <item x="1"/>
        <item x="2"/>
      </items>
    </pivotField>
    <pivotField compact="0" outline="0" showAll="0"/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9"/>
        <item x="8"/>
        <item x="7"/>
        <item x="10"/>
        <item x="11"/>
        <item x="12"/>
        <item x="13"/>
      </items>
    </pivotField>
    <pivotField compact="0" outline="0" showAll="0"/>
    <pivotField axis="axisRow" compact="0" outline="0" showAll="0" defaultSubtotal="0">
      <items count="2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</items>
    </pivotField>
    <pivotField axis="axisRow" compact="0" outline="0" showAll="0">
      <items count="31">
        <item x="12"/>
        <item x="8"/>
        <item x="15"/>
        <item x="22"/>
        <item x="21"/>
        <item x="9"/>
        <item x="6"/>
        <item x="14"/>
        <item x="11"/>
        <item x="3"/>
        <item x="20"/>
        <item x="4"/>
        <item m="1" x="29"/>
        <item x="18"/>
        <item x="19"/>
        <item x="0"/>
        <item x="7"/>
        <item x="1"/>
        <item x="16"/>
        <item x="23"/>
        <item x="13"/>
        <item x="27"/>
        <item x="26"/>
        <item x="17"/>
        <item x="24"/>
        <item x="5"/>
        <item x="2"/>
        <item x="10"/>
        <item x="25"/>
        <item x="2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9" outline="0" showAll="0"/>
    <pivotField compact="0" outline="0" showAll="0"/>
    <pivotField dataField="1" compact="0" numFmtId="9" outline="0" showAll="0"/>
    <pivotField compact="0" numFmtId="9" outline="0" showAll="0"/>
    <pivotField dataField="1" compact="0" numFmtId="9" outline="0" showAll="0"/>
    <pivotField compact="0" outline="0" showAll="0"/>
    <pivotField compact="0" numFmtId="3" outline="0" showAll="0"/>
    <pivotField compact="0" numFmtId="3" outline="0" showAll="0"/>
    <pivotField compact="0" numFmtId="3" outline="0" showAll="0"/>
    <pivotField compact="0" numFmtId="3" outline="0" showAll="0"/>
    <pivotField compact="0" numFmtId="3" outline="0" showAll="0"/>
    <pivotField compact="0" numFmtId="3" outline="0" showAll="0"/>
    <pivotField compact="0" numFmtId="3" outline="0" showAll="0"/>
    <pivotField compact="0" numFmtId="3" outline="0" showAll="0"/>
    <pivotField compact="0" numFmtId="3" outline="0" showAll="0"/>
    <pivotField compact="0" outline="0" showAll="0"/>
    <pivotField compact="0" numFmtId="3" outline="0" showAll="0"/>
    <pivotField compact="0" numFmtId="3" outline="0" showAll="0"/>
    <pivotField compact="0" numFmtId="3" outline="0" showAll="0"/>
    <pivotField compact="0" numFmtId="3" outline="0" showAll="0"/>
    <pivotField compact="0" numFmtId="3" outline="0" showAll="0"/>
    <pivotField compact="0" numFmtId="164" outline="0" showAll="0"/>
    <pivotField compact="0" outline="0" showAll="0"/>
    <pivotField compact="0" numFmtId="168" outline="0" showAll="0"/>
    <pivotField compact="0" numFmtId="168" outline="0" showAll="0"/>
    <pivotField compact="0" numFmtId="168" outline="0" showAll="0"/>
    <pivotField compact="0" numFmtId="168" outline="0" showAll="0"/>
    <pivotField compact="0" outline="0" showAll="0"/>
    <pivotField compact="0" numFmtId="168" outline="0" showAll="0"/>
    <pivotField compact="0" numFmtId="164" outline="0" showAll="0"/>
    <pivotField compact="0" numFmtId="164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</pivotFields>
  <rowFields count="4">
    <field x="2"/>
    <field x="4"/>
    <field x="6"/>
    <field x="7"/>
  </rowFields>
  <rowItems count="30">
    <i>
      <x/>
      <x/>
      <x/>
      <x v="15"/>
    </i>
    <i r="2">
      <x v="1"/>
      <x v="17"/>
    </i>
    <i r="1">
      <x v="1"/>
      <x v="2"/>
      <x v="26"/>
    </i>
    <i r="1">
      <x v="2"/>
      <x v="3"/>
      <x v="9"/>
    </i>
    <i r="2">
      <x v="4"/>
      <x v="11"/>
    </i>
    <i r="1">
      <x v="3"/>
      <x v="5"/>
      <x v="25"/>
    </i>
    <i r="2">
      <x v="6"/>
      <x v="6"/>
    </i>
    <i r="2">
      <x v="7"/>
      <x v="16"/>
    </i>
    <i r="1">
      <x v="4"/>
      <x v="8"/>
      <x v="1"/>
    </i>
    <i r="1">
      <x v="5"/>
      <x v="9"/>
      <x v="5"/>
    </i>
    <i r="2">
      <x v="10"/>
      <x v="27"/>
    </i>
    <i r="2">
      <x v="11"/>
      <x v="8"/>
    </i>
    <i r="2">
      <x v="12"/>
      <x/>
    </i>
    <i>
      <x v="1"/>
      <x v="6"/>
      <x v="13"/>
      <x v="20"/>
    </i>
    <i r="2">
      <x v="14"/>
      <x v="7"/>
    </i>
    <i r="1">
      <x v="7"/>
      <x v="18"/>
      <x v="13"/>
    </i>
    <i r="2">
      <x v="19"/>
      <x v="14"/>
    </i>
    <i r="1">
      <x v="8"/>
      <x v="16"/>
      <x v="18"/>
    </i>
    <i r="2">
      <x v="17"/>
      <x v="23"/>
    </i>
    <i r="1">
      <x v="9"/>
      <x v="15"/>
      <x v="2"/>
    </i>
    <i>
      <x v="2"/>
      <x v="10"/>
      <x v="20"/>
      <x v="10"/>
    </i>
    <i r="2">
      <x v="21"/>
      <x v="4"/>
    </i>
    <i r="2">
      <x v="22"/>
      <x v="3"/>
    </i>
    <i r="1">
      <x v="11"/>
      <x v="23"/>
      <x v="19"/>
    </i>
    <i r="2">
      <x v="24"/>
      <x v="24"/>
    </i>
    <i r="1">
      <x v="12"/>
      <x v="25"/>
      <x v="28"/>
    </i>
    <i r="2">
      <x v="26"/>
      <x v="22"/>
    </i>
    <i r="2">
      <x v="27"/>
      <x v="21"/>
    </i>
    <i r="1">
      <x v="13"/>
      <x v="28"/>
      <x v="29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% AVANCE META PLAN CONSOLIDADO (contratado)" fld="22" baseField="0" baseItem="0"/>
    <dataField name="Suma de % AVANCE META PLAN CONSOLIDADO (ejecución real)" fld="24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46"/>
  <sheetViews>
    <sheetView zoomScale="75" zoomScaleNormal="75" zoomScalePageLayoutView="75" workbookViewId="0">
      <selection activeCell="B30" sqref="B30"/>
    </sheetView>
  </sheetViews>
  <sheetFormatPr baseColWidth="10" defaultColWidth="10.85546875" defaultRowHeight="15" x14ac:dyDescent="0.25"/>
  <cols>
    <col min="1" max="1" width="10.85546875" style="1"/>
    <col min="2" max="2" width="39.42578125" style="2" customWidth="1"/>
    <col min="3" max="3" width="14.28515625" style="2" customWidth="1"/>
    <col min="4" max="4" width="26.140625" style="2" customWidth="1"/>
    <col min="5" max="5" width="10.85546875" style="1"/>
    <col min="6" max="6" width="32.85546875" style="1" customWidth="1"/>
    <col min="7" max="7" width="16" style="1" customWidth="1"/>
    <col min="8" max="8" width="16.42578125" style="1" customWidth="1"/>
    <col min="9" max="16384" width="10.85546875" style="1"/>
  </cols>
  <sheetData>
    <row r="4" spans="1:4" ht="30" x14ac:dyDescent="0.25">
      <c r="A4" s="3" t="s">
        <v>0</v>
      </c>
      <c r="B4" s="4" t="s">
        <v>1</v>
      </c>
      <c r="C4" s="4"/>
      <c r="D4" s="4"/>
    </row>
    <row r="5" spans="1:4" ht="66" customHeight="1" x14ac:dyDescent="0.25">
      <c r="A5" s="3" t="s">
        <v>2</v>
      </c>
      <c r="B5" s="4" t="s">
        <v>3</v>
      </c>
      <c r="C5" s="4"/>
      <c r="D5" s="4"/>
    </row>
    <row r="6" spans="1:4" ht="66" customHeight="1" x14ac:dyDescent="0.25">
      <c r="A6" s="3" t="s">
        <v>4</v>
      </c>
      <c r="B6" s="4" t="s">
        <v>5</v>
      </c>
      <c r="C6" s="4"/>
      <c r="D6" s="4"/>
    </row>
    <row r="7" spans="1:4" ht="66" customHeight="1" x14ac:dyDescent="0.25"/>
    <row r="8" spans="1:4" ht="66" customHeight="1" x14ac:dyDescent="0.25">
      <c r="B8" s="5" t="s">
        <v>6</v>
      </c>
      <c r="C8" s="6">
        <v>1</v>
      </c>
      <c r="D8" s="5"/>
    </row>
    <row r="9" spans="1:4" ht="66" customHeight="1" x14ac:dyDescent="0.25">
      <c r="B9" s="5" t="s">
        <v>7</v>
      </c>
      <c r="C9" s="6">
        <v>2</v>
      </c>
      <c r="D9" s="5"/>
    </row>
    <row r="10" spans="1:4" ht="66" customHeight="1" x14ac:dyDescent="0.25">
      <c r="B10" s="5" t="s">
        <v>8</v>
      </c>
      <c r="C10" s="6">
        <v>3</v>
      </c>
      <c r="D10" s="5"/>
    </row>
    <row r="11" spans="1:4" ht="66" customHeight="1" x14ac:dyDescent="0.25"/>
    <row r="12" spans="1:4" ht="45" customHeight="1" x14ac:dyDescent="0.25">
      <c r="B12" s="7" t="s">
        <v>9</v>
      </c>
      <c r="C12" s="8">
        <v>1</v>
      </c>
    </row>
    <row r="13" spans="1:4" ht="45" customHeight="1" x14ac:dyDescent="0.25">
      <c r="B13" s="9" t="s">
        <v>10</v>
      </c>
      <c r="C13" s="8">
        <v>2</v>
      </c>
    </row>
    <row r="14" spans="1:4" ht="45" customHeight="1" x14ac:dyDescent="0.25">
      <c r="B14" s="9" t="s">
        <v>11</v>
      </c>
      <c r="C14" s="8">
        <v>3</v>
      </c>
    </row>
    <row r="15" spans="1:4" ht="45" customHeight="1" x14ac:dyDescent="0.25">
      <c r="B15" s="9" t="s">
        <v>12</v>
      </c>
      <c r="C15" s="8">
        <v>4</v>
      </c>
    </row>
    <row r="16" spans="1:4" ht="45" customHeight="1" x14ac:dyDescent="0.25">
      <c r="B16" s="9" t="s">
        <v>13</v>
      </c>
      <c r="C16" s="8">
        <v>5</v>
      </c>
    </row>
    <row r="17" spans="2:3" ht="45" customHeight="1" x14ac:dyDescent="0.25">
      <c r="B17" s="9" t="s">
        <v>14</v>
      </c>
      <c r="C17" s="8">
        <v>6</v>
      </c>
    </row>
    <row r="18" spans="2:3" ht="45" customHeight="1" x14ac:dyDescent="0.25">
      <c r="B18" s="9" t="s">
        <v>15</v>
      </c>
      <c r="C18" s="8">
        <v>7</v>
      </c>
    </row>
    <row r="19" spans="2:3" ht="45" customHeight="1" x14ac:dyDescent="0.25">
      <c r="B19" s="9" t="s">
        <v>16</v>
      </c>
      <c r="C19" s="8">
        <v>8</v>
      </c>
    </row>
    <row r="20" spans="2:3" ht="45" customHeight="1" x14ac:dyDescent="0.25">
      <c r="B20" s="9" t="s">
        <v>17</v>
      </c>
      <c r="C20" s="8">
        <v>10</v>
      </c>
    </row>
    <row r="21" spans="2:3" ht="45" customHeight="1" x14ac:dyDescent="0.25">
      <c r="B21" s="9" t="s">
        <v>18</v>
      </c>
      <c r="C21" s="8">
        <v>11</v>
      </c>
    </row>
    <row r="22" spans="2:3" ht="45" customHeight="1" x14ac:dyDescent="0.25">
      <c r="B22" s="9" t="s">
        <v>19</v>
      </c>
      <c r="C22" s="8">
        <v>14</v>
      </c>
    </row>
    <row r="23" spans="2:3" ht="45" customHeight="1" x14ac:dyDescent="0.25">
      <c r="B23" s="9" t="s">
        <v>20</v>
      </c>
      <c r="C23" s="8">
        <v>15</v>
      </c>
    </row>
    <row r="24" spans="2:3" ht="45" customHeight="1" x14ac:dyDescent="0.25">
      <c r="B24" s="9" t="s">
        <v>21</v>
      </c>
      <c r="C24" s="8">
        <v>16</v>
      </c>
    </row>
    <row r="25" spans="2:3" ht="45" customHeight="1" x14ac:dyDescent="0.25">
      <c r="B25" s="10" t="s">
        <v>22</v>
      </c>
      <c r="C25" s="11">
        <v>17</v>
      </c>
    </row>
    <row r="26" spans="2:3" ht="45" customHeight="1" x14ac:dyDescent="0.25">
      <c r="B26" s="10" t="s">
        <v>23</v>
      </c>
      <c r="C26" s="11">
        <v>18</v>
      </c>
    </row>
    <row r="27" spans="2:3" ht="45" customHeight="1" x14ac:dyDescent="0.25">
      <c r="B27" s="10" t="s">
        <v>24</v>
      </c>
      <c r="C27" s="11">
        <v>19</v>
      </c>
    </row>
    <row r="28" spans="2:3" ht="45" customHeight="1" x14ac:dyDescent="0.25">
      <c r="B28" s="10" t="s">
        <v>25</v>
      </c>
      <c r="C28" s="11">
        <v>20</v>
      </c>
    </row>
    <row r="29" spans="2:3" ht="45" customHeight="1" x14ac:dyDescent="0.25">
      <c r="B29" s="10" t="s">
        <v>26</v>
      </c>
      <c r="C29" s="11">
        <v>21</v>
      </c>
    </row>
    <row r="30" spans="2:3" ht="45" customHeight="1" x14ac:dyDescent="0.25">
      <c r="B30" s="10" t="s">
        <v>27</v>
      </c>
      <c r="C30" s="11">
        <v>22</v>
      </c>
    </row>
    <row r="31" spans="2:3" ht="45" customHeight="1" x14ac:dyDescent="0.25">
      <c r="B31" s="12" t="s">
        <v>28</v>
      </c>
      <c r="C31" s="13">
        <v>24</v>
      </c>
    </row>
    <row r="32" spans="2:3" ht="45" customHeight="1" x14ac:dyDescent="0.25">
      <c r="B32" s="12" t="s">
        <v>29</v>
      </c>
      <c r="C32" s="13">
        <v>25</v>
      </c>
    </row>
    <row r="33" spans="1:3" ht="45" customHeight="1" x14ac:dyDescent="0.25">
      <c r="B33" s="12" t="s">
        <v>30</v>
      </c>
      <c r="C33" s="13">
        <v>26</v>
      </c>
    </row>
    <row r="34" spans="1:3" ht="45" customHeight="1" x14ac:dyDescent="0.25">
      <c r="B34" s="12" t="s">
        <v>31</v>
      </c>
      <c r="C34" s="13">
        <v>27</v>
      </c>
    </row>
    <row r="35" spans="1:3" ht="45" customHeight="1" x14ac:dyDescent="0.25">
      <c r="B35" s="12" t="s">
        <v>32</v>
      </c>
      <c r="C35" s="13">
        <v>28</v>
      </c>
    </row>
    <row r="36" spans="1:3" ht="45" customHeight="1" x14ac:dyDescent="0.25">
      <c r="B36" s="12" t="s">
        <v>33</v>
      </c>
      <c r="C36" s="13">
        <v>29</v>
      </c>
    </row>
    <row r="37" spans="1:3" ht="45" customHeight="1" x14ac:dyDescent="0.25">
      <c r="B37" s="12" t="s">
        <v>34</v>
      </c>
      <c r="C37" s="13">
        <v>30</v>
      </c>
    </row>
    <row r="38" spans="1:3" ht="45" customHeight="1" x14ac:dyDescent="0.25">
      <c r="B38" s="12" t="s">
        <v>35</v>
      </c>
      <c r="C38" s="13">
        <v>31</v>
      </c>
    </row>
    <row r="39" spans="1:3" ht="45" customHeight="1" x14ac:dyDescent="0.25">
      <c r="B39" s="12" t="s">
        <v>36</v>
      </c>
      <c r="C39" s="13">
        <v>32</v>
      </c>
    </row>
    <row r="40" spans="1:3" ht="45" customHeight="1" x14ac:dyDescent="0.25">
      <c r="B40" s="12" t="s">
        <v>37</v>
      </c>
      <c r="C40" s="13">
        <v>33</v>
      </c>
    </row>
    <row r="41" spans="1:3" ht="45" customHeight="1" x14ac:dyDescent="0.25"/>
    <row r="47" spans="1:3" ht="15.75" x14ac:dyDescent="0.25">
      <c r="A47" s="1">
        <v>1</v>
      </c>
      <c r="B47" s="14" t="s">
        <v>38</v>
      </c>
      <c r="C47" s="1">
        <v>1</v>
      </c>
    </row>
    <row r="48" spans="1:3" ht="15.75" x14ac:dyDescent="0.25">
      <c r="A48" s="1">
        <v>2</v>
      </c>
      <c r="B48" s="14" t="s">
        <v>39</v>
      </c>
      <c r="C48" s="1">
        <v>2</v>
      </c>
    </row>
    <row r="49" spans="1:3" ht="15.75" x14ac:dyDescent="0.25">
      <c r="A49" s="1">
        <v>3</v>
      </c>
      <c r="B49" s="14" t="s">
        <v>40</v>
      </c>
      <c r="C49" s="1">
        <v>3</v>
      </c>
    </row>
    <row r="50" spans="1:3" ht="15.75" x14ac:dyDescent="0.25">
      <c r="A50" s="1">
        <v>4</v>
      </c>
      <c r="B50" s="14" t="s">
        <v>41</v>
      </c>
      <c r="C50" s="1">
        <v>4</v>
      </c>
    </row>
    <row r="51" spans="1:3" ht="15.75" x14ac:dyDescent="0.25">
      <c r="A51" s="1">
        <v>5</v>
      </c>
      <c r="B51" s="14" t="s">
        <v>42</v>
      </c>
      <c r="C51" s="1">
        <v>5</v>
      </c>
    </row>
    <row r="52" spans="1:3" ht="15.75" x14ac:dyDescent="0.25">
      <c r="A52" s="1">
        <v>6</v>
      </c>
      <c r="B52" s="14" t="s">
        <v>43</v>
      </c>
      <c r="C52" s="1">
        <v>6</v>
      </c>
    </row>
    <row r="53" spans="1:3" ht="15.75" x14ac:dyDescent="0.25">
      <c r="A53" s="1">
        <v>7</v>
      </c>
      <c r="B53" s="14" t="s">
        <v>44</v>
      </c>
      <c r="C53" s="1">
        <v>7</v>
      </c>
    </row>
    <row r="54" spans="1:3" ht="15.75" x14ac:dyDescent="0.25">
      <c r="A54" s="1">
        <v>8</v>
      </c>
      <c r="B54" s="14" t="s">
        <v>45</v>
      </c>
      <c r="C54" s="1">
        <v>8</v>
      </c>
    </row>
    <row r="55" spans="1:3" ht="15.75" x14ac:dyDescent="0.25">
      <c r="A55" s="1">
        <v>9</v>
      </c>
      <c r="B55" s="14" t="s">
        <v>46</v>
      </c>
      <c r="C55" s="1">
        <v>9</v>
      </c>
    </row>
    <row r="56" spans="1:3" ht="15.75" x14ac:dyDescent="0.25">
      <c r="A56" s="1">
        <v>10</v>
      </c>
      <c r="B56" s="14" t="s">
        <v>47</v>
      </c>
      <c r="C56" s="1">
        <v>10</v>
      </c>
    </row>
    <row r="57" spans="1:3" ht="15.75" x14ac:dyDescent="0.25">
      <c r="A57" s="1">
        <v>11</v>
      </c>
      <c r="B57" s="14" t="s">
        <v>48</v>
      </c>
      <c r="C57" s="1">
        <v>11</v>
      </c>
    </row>
    <row r="58" spans="1:3" ht="15.75" x14ac:dyDescent="0.25">
      <c r="A58" s="1">
        <v>12</v>
      </c>
      <c r="B58" s="14" t="s">
        <v>49</v>
      </c>
      <c r="C58" s="1">
        <v>12</v>
      </c>
    </row>
    <row r="59" spans="1:3" ht="15.75" x14ac:dyDescent="0.25">
      <c r="A59" s="1">
        <v>13</v>
      </c>
      <c r="B59" s="14" t="s">
        <v>50</v>
      </c>
      <c r="C59" s="1">
        <v>13</v>
      </c>
    </row>
    <row r="60" spans="1:3" ht="15.75" x14ac:dyDescent="0.25">
      <c r="A60" s="1">
        <v>14</v>
      </c>
      <c r="B60" s="14" t="s">
        <v>51</v>
      </c>
      <c r="C60" s="1">
        <v>14</v>
      </c>
    </row>
    <row r="61" spans="1:3" ht="15.75" x14ac:dyDescent="0.25">
      <c r="A61" s="1">
        <v>15</v>
      </c>
      <c r="B61" s="14" t="s">
        <v>52</v>
      </c>
      <c r="C61" s="1">
        <v>15</v>
      </c>
    </row>
    <row r="62" spans="1:3" ht="15.75" x14ac:dyDescent="0.25">
      <c r="A62" s="1">
        <v>16</v>
      </c>
      <c r="B62" s="14" t="s">
        <v>53</v>
      </c>
      <c r="C62" s="1">
        <v>16</v>
      </c>
    </row>
    <row r="63" spans="1:3" ht="15.75" x14ac:dyDescent="0.25">
      <c r="A63" s="1">
        <v>17</v>
      </c>
      <c r="B63" s="14" t="s">
        <v>54</v>
      </c>
      <c r="C63" s="1">
        <v>17</v>
      </c>
    </row>
    <row r="64" spans="1:3" ht="15.75" x14ac:dyDescent="0.25">
      <c r="A64" s="1">
        <v>18</v>
      </c>
      <c r="B64" s="14" t="s">
        <v>55</v>
      </c>
      <c r="C64" s="1">
        <v>18</v>
      </c>
    </row>
    <row r="65" spans="1:5" ht="15.75" x14ac:dyDescent="0.25">
      <c r="A65" s="1">
        <v>19</v>
      </c>
      <c r="B65" s="14" t="s">
        <v>56</v>
      </c>
      <c r="C65" s="1">
        <v>19</v>
      </c>
    </row>
    <row r="66" spans="1:5" ht="15.75" x14ac:dyDescent="0.25">
      <c r="A66" s="1">
        <v>20</v>
      </c>
      <c r="B66" s="14" t="s">
        <v>57</v>
      </c>
      <c r="C66" s="1">
        <v>20</v>
      </c>
    </row>
    <row r="76" spans="1:5" x14ac:dyDescent="0.25">
      <c r="A76" s="15" t="s">
        <v>58</v>
      </c>
      <c r="B76" s="15" t="s">
        <v>59</v>
      </c>
      <c r="C76" s="16" t="s">
        <v>60</v>
      </c>
      <c r="D76" s="17" t="s">
        <v>61</v>
      </c>
      <c r="E76" s="18" t="s">
        <v>62</v>
      </c>
    </row>
    <row r="77" spans="1:5" ht="50.25" customHeight="1" x14ac:dyDescent="0.25">
      <c r="A77" s="19" t="s">
        <v>0</v>
      </c>
      <c r="B77" s="20" t="s">
        <v>63</v>
      </c>
      <c r="C77" s="21" t="s">
        <v>64</v>
      </c>
      <c r="D77" s="22" t="s">
        <v>65</v>
      </c>
      <c r="E77" s="23">
        <v>1</v>
      </c>
    </row>
    <row r="78" spans="1:5" ht="50.25" customHeight="1" x14ac:dyDescent="0.25">
      <c r="A78" s="19" t="s">
        <v>0</v>
      </c>
      <c r="B78" s="20" t="s">
        <v>63</v>
      </c>
      <c r="C78" s="24" t="s">
        <v>66</v>
      </c>
      <c r="D78" s="22" t="s">
        <v>67</v>
      </c>
      <c r="E78" s="23">
        <v>2</v>
      </c>
    </row>
    <row r="79" spans="1:5" ht="50.25" customHeight="1" x14ac:dyDescent="0.25">
      <c r="A79" s="19" t="s">
        <v>0</v>
      </c>
      <c r="B79" s="20" t="s">
        <v>63</v>
      </c>
      <c r="C79" s="24" t="s">
        <v>68</v>
      </c>
      <c r="D79" s="22" t="s">
        <v>69</v>
      </c>
      <c r="E79" s="23">
        <v>3</v>
      </c>
    </row>
    <row r="80" spans="1:5" ht="50.25" customHeight="1" x14ac:dyDescent="0.25">
      <c r="A80" s="19" t="s">
        <v>0</v>
      </c>
      <c r="B80" s="20" t="s">
        <v>70</v>
      </c>
      <c r="C80" s="21" t="s">
        <v>71</v>
      </c>
      <c r="D80" s="22" t="s">
        <v>72</v>
      </c>
      <c r="E80" s="23">
        <v>4</v>
      </c>
    </row>
    <row r="81" spans="1:5" ht="50.25" customHeight="1" x14ac:dyDescent="0.25">
      <c r="A81" s="19" t="s">
        <v>0</v>
      </c>
      <c r="B81" s="20" t="s">
        <v>70</v>
      </c>
      <c r="C81" s="24" t="s">
        <v>73</v>
      </c>
      <c r="D81" s="25" t="s">
        <v>74</v>
      </c>
      <c r="E81" s="23">
        <v>5</v>
      </c>
    </row>
    <row r="82" spans="1:5" ht="50.25" customHeight="1" x14ac:dyDescent="0.25">
      <c r="A82" s="19" t="s">
        <v>0</v>
      </c>
      <c r="B82" s="20" t="s">
        <v>70</v>
      </c>
      <c r="C82" s="24" t="s">
        <v>75</v>
      </c>
      <c r="D82" s="22" t="s">
        <v>76</v>
      </c>
      <c r="E82" s="23">
        <v>6</v>
      </c>
    </row>
    <row r="83" spans="1:5" ht="50.25" customHeight="1" x14ac:dyDescent="0.25">
      <c r="A83" s="19" t="s">
        <v>0</v>
      </c>
      <c r="B83" s="20" t="s">
        <v>77</v>
      </c>
      <c r="C83" s="24" t="s">
        <v>66</v>
      </c>
      <c r="D83" s="25" t="s">
        <v>78</v>
      </c>
      <c r="E83" s="23">
        <v>7</v>
      </c>
    </row>
    <row r="84" spans="1:5" ht="50.25" customHeight="1" x14ac:dyDescent="0.25">
      <c r="A84" s="19" t="s">
        <v>0</v>
      </c>
      <c r="B84" s="20" t="s">
        <v>79</v>
      </c>
      <c r="C84" s="24"/>
      <c r="D84" s="26" t="s">
        <v>80</v>
      </c>
      <c r="E84" s="23">
        <v>8</v>
      </c>
    </row>
    <row r="85" spans="1:5" ht="50.25" customHeight="1" x14ac:dyDescent="0.25">
      <c r="A85" s="27" t="s">
        <v>0</v>
      </c>
      <c r="B85" s="28" t="s">
        <v>79</v>
      </c>
      <c r="C85" s="24"/>
      <c r="D85" s="25" t="s">
        <v>81</v>
      </c>
      <c r="E85" s="23">
        <v>9</v>
      </c>
    </row>
    <row r="86" spans="1:5" ht="50.25" customHeight="1" x14ac:dyDescent="0.25">
      <c r="A86" s="27" t="s">
        <v>0</v>
      </c>
      <c r="B86" s="28" t="s">
        <v>79</v>
      </c>
      <c r="C86" s="24"/>
      <c r="D86" s="25" t="s">
        <v>82</v>
      </c>
      <c r="E86" s="23">
        <v>10</v>
      </c>
    </row>
    <row r="87" spans="1:5" ht="50.25" customHeight="1" x14ac:dyDescent="0.25">
      <c r="A87" s="27" t="s">
        <v>0</v>
      </c>
      <c r="B87" s="28" t="s">
        <v>79</v>
      </c>
      <c r="C87" s="24"/>
      <c r="D87" s="25" t="s">
        <v>83</v>
      </c>
      <c r="E87" s="23">
        <v>11</v>
      </c>
    </row>
    <row r="88" spans="1:5" ht="50.25" customHeight="1" x14ac:dyDescent="0.25">
      <c r="A88" s="27" t="s">
        <v>0</v>
      </c>
      <c r="B88" s="28" t="s">
        <v>79</v>
      </c>
      <c r="C88" s="29"/>
      <c r="D88" s="25" t="s">
        <v>84</v>
      </c>
      <c r="E88" s="23">
        <v>12</v>
      </c>
    </row>
    <row r="89" spans="1:5" ht="50.25" customHeight="1" x14ac:dyDescent="0.25">
      <c r="A89" s="27" t="s">
        <v>0</v>
      </c>
      <c r="B89" s="28" t="s">
        <v>79</v>
      </c>
      <c r="C89" s="29"/>
      <c r="D89" s="25" t="s">
        <v>85</v>
      </c>
      <c r="E89" s="23">
        <v>13</v>
      </c>
    </row>
    <row r="90" spans="1:5" ht="50.25" customHeight="1" x14ac:dyDescent="0.25">
      <c r="A90" s="27" t="s">
        <v>0</v>
      </c>
      <c r="B90" s="28" t="s">
        <v>86</v>
      </c>
      <c r="C90" s="24"/>
      <c r="D90" s="25" t="s">
        <v>87</v>
      </c>
      <c r="E90" s="23">
        <v>14</v>
      </c>
    </row>
    <row r="91" spans="1:5" ht="50.25" customHeight="1" x14ac:dyDescent="0.25">
      <c r="A91" s="27" t="s">
        <v>0</v>
      </c>
      <c r="B91" s="28" t="s">
        <v>88</v>
      </c>
      <c r="C91" s="24"/>
      <c r="D91" s="22" t="s">
        <v>89</v>
      </c>
      <c r="E91" s="23">
        <v>15</v>
      </c>
    </row>
    <row r="92" spans="1:5" ht="50.25" customHeight="1" x14ac:dyDescent="0.25">
      <c r="A92" s="30" t="s">
        <v>0</v>
      </c>
      <c r="B92" s="28" t="s">
        <v>88</v>
      </c>
      <c r="C92" s="24"/>
      <c r="D92" s="31" t="s">
        <v>90</v>
      </c>
      <c r="E92" s="23">
        <v>16</v>
      </c>
    </row>
    <row r="93" spans="1:5" ht="50.25" customHeight="1" x14ac:dyDescent="0.25">
      <c r="A93" s="27" t="s">
        <v>0</v>
      </c>
      <c r="B93" s="28" t="s">
        <v>88</v>
      </c>
      <c r="C93" s="24" t="s">
        <v>66</v>
      </c>
      <c r="D93" s="22" t="s">
        <v>91</v>
      </c>
      <c r="E93" s="23">
        <v>17</v>
      </c>
    </row>
    <row r="94" spans="1:5" ht="50.25" customHeight="1" x14ac:dyDescent="0.25">
      <c r="A94" s="27" t="s">
        <v>0</v>
      </c>
      <c r="B94" s="28" t="s">
        <v>88</v>
      </c>
      <c r="C94" s="24" t="s">
        <v>92</v>
      </c>
      <c r="D94" s="22" t="s">
        <v>93</v>
      </c>
      <c r="E94" s="23">
        <v>18</v>
      </c>
    </row>
    <row r="95" spans="1:5" ht="50.25" customHeight="1" x14ac:dyDescent="0.25">
      <c r="A95" s="27" t="s">
        <v>0</v>
      </c>
      <c r="B95" s="28" t="s">
        <v>88</v>
      </c>
      <c r="C95" s="24" t="s">
        <v>94</v>
      </c>
      <c r="D95" s="22" t="s">
        <v>95</v>
      </c>
      <c r="E95" s="23">
        <v>19</v>
      </c>
    </row>
    <row r="96" spans="1:5" ht="50.25" customHeight="1" x14ac:dyDescent="0.25">
      <c r="A96" s="27" t="s">
        <v>0</v>
      </c>
      <c r="B96" s="28" t="s">
        <v>96</v>
      </c>
      <c r="C96" s="24"/>
      <c r="D96" s="22" t="s">
        <v>97</v>
      </c>
      <c r="E96" s="23">
        <v>20</v>
      </c>
    </row>
    <row r="97" spans="1:5" ht="50.25" customHeight="1" x14ac:dyDescent="0.25">
      <c r="A97" s="27" t="s">
        <v>0</v>
      </c>
      <c r="B97" s="28" t="s">
        <v>96</v>
      </c>
      <c r="C97" s="24"/>
      <c r="D97" s="25" t="s">
        <v>98</v>
      </c>
      <c r="E97" s="23">
        <v>21</v>
      </c>
    </row>
    <row r="98" spans="1:5" ht="50.25" customHeight="1" x14ac:dyDescent="0.25">
      <c r="A98" s="27" t="s">
        <v>0</v>
      </c>
      <c r="B98" s="28" t="s">
        <v>99</v>
      </c>
      <c r="C98" s="24"/>
      <c r="D98" s="22" t="s">
        <v>100</v>
      </c>
      <c r="E98" s="23">
        <v>22</v>
      </c>
    </row>
    <row r="99" spans="1:5" ht="50.25" customHeight="1" x14ac:dyDescent="0.25">
      <c r="A99" s="27" t="s">
        <v>0</v>
      </c>
      <c r="B99" s="28" t="s">
        <v>101</v>
      </c>
      <c r="C99" s="24" t="s">
        <v>102</v>
      </c>
      <c r="D99" s="22" t="s">
        <v>103</v>
      </c>
      <c r="E99" s="23">
        <v>23</v>
      </c>
    </row>
    <row r="100" spans="1:5" ht="50.25" customHeight="1" x14ac:dyDescent="0.25">
      <c r="A100" s="27" t="s">
        <v>0</v>
      </c>
      <c r="B100" s="28" t="s">
        <v>101</v>
      </c>
      <c r="C100" s="24"/>
      <c r="D100" s="22" t="s">
        <v>104</v>
      </c>
      <c r="E100" s="23">
        <v>24</v>
      </c>
    </row>
    <row r="101" spans="1:5" ht="50.25" customHeight="1" x14ac:dyDescent="0.25">
      <c r="A101" s="27" t="s">
        <v>0</v>
      </c>
      <c r="B101" s="28" t="s">
        <v>101</v>
      </c>
      <c r="C101" s="24"/>
      <c r="D101" s="25" t="s">
        <v>105</v>
      </c>
      <c r="E101" s="23">
        <v>25</v>
      </c>
    </row>
    <row r="102" spans="1:5" ht="50.25" customHeight="1" x14ac:dyDescent="0.25">
      <c r="A102" s="27" t="s">
        <v>0</v>
      </c>
      <c r="B102" s="28" t="s">
        <v>101</v>
      </c>
      <c r="C102" s="24" t="s">
        <v>92</v>
      </c>
      <c r="D102" s="22" t="s">
        <v>106</v>
      </c>
      <c r="E102" s="23">
        <v>26</v>
      </c>
    </row>
    <row r="103" spans="1:5" ht="50.25" customHeight="1" x14ac:dyDescent="0.25">
      <c r="A103" s="27" t="s">
        <v>0</v>
      </c>
      <c r="B103" s="28" t="s">
        <v>101</v>
      </c>
      <c r="C103" s="24"/>
      <c r="D103" s="32" t="s">
        <v>107</v>
      </c>
      <c r="E103" s="23">
        <v>27</v>
      </c>
    </row>
    <row r="104" spans="1:5" ht="50.25" customHeight="1" x14ac:dyDescent="0.25">
      <c r="A104" s="27" t="s">
        <v>0</v>
      </c>
      <c r="B104" s="28" t="s">
        <v>101</v>
      </c>
      <c r="C104" s="24"/>
      <c r="D104" s="33" t="s">
        <v>108</v>
      </c>
      <c r="E104" s="23">
        <v>28</v>
      </c>
    </row>
    <row r="105" spans="1:5" ht="50.25" customHeight="1" x14ac:dyDescent="0.25">
      <c r="A105" s="27" t="s">
        <v>0</v>
      </c>
      <c r="B105" s="28" t="s">
        <v>101</v>
      </c>
      <c r="C105" s="24"/>
      <c r="D105" s="31" t="s">
        <v>109</v>
      </c>
      <c r="E105" s="23">
        <v>29</v>
      </c>
    </row>
    <row r="106" spans="1:5" ht="50.25" customHeight="1" x14ac:dyDescent="0.25">
      <c r="A106" s="27" t="s">
        <v>0</v>
      </c>
      <c r="B106" s="28" t="s">
        <v>101</v>
      </c>
      <c r="C106" s="24"/>
      <c r="D106" s="22" t="s">
        <v>110</v>
      </c>
      <c r="E106" s="23">
        <v>30</v>
      </c>
    </row>
    <row r="107" spans="1:5" ht="50.25" customHeight="1" x14ac:dyDescent="0.25">
      <c r="A107" s="27" t="s">
        <v>0</v>
      </c>
      <c r="B107" s="28" t="s">
        <v>101</v>
      </c>
      <c r="C107" s="24" t="s">
        <v>102</v>
      </c>
      <c r="D107" s="22" t="s">
        <v>111</v>
      </c>
      <c r="E107" s="23">
        <v>31</v>
      </c>
    </row>
    <row r="108" spans="1:5" ht="50.25" customHeight="1" x14ac:dyDescent="0.25">
      <c r="A108" s="27" t="s">
        <v>0</v>
      </c>
      <c r="B108" s="28" t="s">
        <v>101</v>
      </c>
      <c r="C108" s="24"/>
      <c r="D108" s="25" t="s">
        <v>112</v>
      </c>
      <c r="E108" s="23">
        <v>32</v>
      </c>
    </row>
    <row r="109" spans="1:5" ht="50.25" customHeight="1" x14ac:dyDescent="0.25">
      <c r="A109" s="27" t="s">
        <v>0</v>
      </c>
      <c r="B109" s="28" t="s">
        <v>101</v>
      </c>
      <c r="C109" s="24" t="s">
        <v>92</v>
      </c>
      <c r="D109" s="22" t="s">
        <v>113</v>
      </c>
      <c r="E109" s="23">
        <v>33</v>
      </c>
    </row>
    <row r="110" spans="1:5" ht="50.25" customHeight="1" x14ac:dyDescent="0.25">
      <c r="A110" s="27" t="s">
        <v>0</v>
      </c>
      <c r="B110" s="28" t="s">
        <v>101</v>
      </c>
      <c r="C110" s="24" t="s">
        <v>66</v>
      </c>
      <c r="D110" s="22" t="s">
        <v>114</v>
      </c>
      <c r="E110" s="23">
        <v>34</v>
      </c>
    </row>
    <row r="111" spans="1:5" ht="50.25" customHeight="1" x14ac:dyDescent="0.25">
      <c r="A111" s="27" t="s">
        <v>0</v>
      </c>
      <c r="B111" s="28" t="s">
        <v>101</v>
      </c>
      <c r="C111" s="24" t="s">
        <v>66</v>
      </c>
      <c r="D111" s="25" t="s">
        <v>115</v>
      </c>
      <c r="E111" s="23">
        <v>35</v>
      </c>
    </row>
    <row r="112" spans="1:5" ht="50.25" customHeight="1" x14ac:dyDescent="0.25">
      <c r="A112" s="34" t="s">
        <v>0</v>
      </c>
      <c r="B112" s="28" t="s">
        <v>101</v>
      </c>
      <c r="C112" s="24" t="s">
        <v>66</v>
      </c>
      <c r="D112" s="25" t="s">
        <v>116</v>
      </c>
      <c r="E112" s="23">
        <v>36</v>
      </c>
    </row>
    <row r="113" spans="1:5" ht="50.25" customHeight="1" x14ac:dyDescent="0.25">
      <c r="A113" s="34" t="s">
        <v>0</v>
      </c>
      <c r="B113" s="28" t="s">
        <v>101</v>
      </c>
      <c r="C113" s="24" t="s">
        <v>117</v>
      </c>
      <c r="D113" s="25" t="s">
        <v>118</v>
      </c>
      <c r="E113" s="23">
        <v>37</v>
      </c>
    </row>
    <row r="114" spans="1:5" ht="50.25" customHeight="1" x14ac:dyDescent="0.25">
      <c r="A114" s="34" t="s">
        <v>0</v>
      </c>
      <c r="B114" s="28" t="s">
        <v>101</v>
      </c>
      <c r="C114" s="24" t="s">
        <v>117</v>
      </c>
      <c r="D114" s="25" t="s">
        <v>119</v>
      </c>
      <c r="E114" s="23">
        <v>38</v>
      </c>
    </row>
    <row r="115" spans="1:5" ht="50.25" customHeight="1" x14ac:dyDescent="0.25">
      <c r="A115" s="27" t="s">
        <v>0</v>
      </c>
      <c r="B115" s="28" t="s">
        <v>120</v>
      </c>
      <c r="C115" s="24" t="s">
        <v>121</v>
      </c>
      <c r="D115" s="22" t="s">
        <v>122</v>
      </c>
      <c r="E115" s="23">
        <v>39</v>
      </c>
    </row>
    <row r="116" spans="1:5" ht="50.25" customHeight="1" x14ac:dyDescent="0.25">
      <c r="A116" s="27" t="s">
        <v>0</v>
      </c>
      <c r="B116" s="28" t="s">
        <v>123</v>
      </c>
      <c r="C116" s="24"/>
      <c r="D116" s="22" t="s">
        <v>124</v>
      </c>
      <c r="E116" s="23">
        <v>40</v>
      </c>
    </row>
    <row r="117" spans="1:5" ht="50.25" customHeight="1" x14ac:dyDescent="0.25">
      <c r="A117" s="35" t="s">
        <v>2</v>
      </c>
      <c r="B117" s="36" t="s">
        <v>22</v>
      </c>
      <c r="C117" s="24"/>
      <c r="D117" s="33" t="s">
        <v>125</v>
      </c>
      <c r="E117" s="23">
        <v>41</v>
      </c>
    </row>
    <row r="118" spans="1:5" ht="50.25" customHeight="1" x14ac:dyDescent="0.25">
      <c r="A118" s="34" t="s">
        <v>2</v>
      </c>
      <c r="B118" s="28" t="s">
        <v>126</v>
      </c>
      <c r="C118" s="24"/>
      <c r="D118" s="22" t="s">
        <v>127</v>
      </c>
      <c r="E118" s="23">
        <v>42</v>
      </c>
    </row>
    <row r="119" spans="1:5" ht="50.25" customHeight="1" x14ac:dyDescent="0.25">
      <c r="A119" s="34" t="s">
        <v>2</v>
      </c>
      <c r="B119" s="28" t="s">
        <v>126</v>
      </c>
      <c r="C119" s="24"/>
      <c r="D119" s="22" t="s">
        <v>128</v>
      </c>
      <c r="E119" s="23">
        <v>43</v>
      </c>
    </row>
    <row r="120" spans="1:5" ht="50.25" customHeight="1" x14ac:dyDescent="0.25">
      <c r="A120" s="34" t="s">
        <v>2</v>
      </c>
      <c r="B120" s="28" t="s">
        <v>126</v>
      </c>
      <c r="C120" s="29"/>
      <c r="D120" s="25" t="s">
        <v>129</v>
      </c>
      <c r="E120" s="23">
        <v>44</v>
      </c>
    </row>
    <row r="121" spans="1:5" ht="50.25" customHeight="1" x14ac:dyDescent="0.25">
      <c r="A121" s="27" t="s">
        <v>2</v>
      </c>
      <c r="B121" s="28" t="s">
        <v>130</v>
      </c>
      <c r="C121" s="24" t="s">
        <v>131</v>
      </c>
      <c r="D121" s="31" t="s">
        <v>132</v>
      </c>
      <c r="E121" s="23">
        <v>45</v>
      </c>
    </row>
    <row r="122" spans="1:5" ht="50.25" customHeight="1" x14ac:dyDescent="0.25">
      <c r="A122" s="27" t="s">
        <v>2</v>
      </c>
      <c r="B122" s="28" t="s">
        <v>130</v>
      </c>
      <c r="C122" s="24" t="s">
        <v>133</v>
      </c>
      <c r="D122" s="31" t="s">
        <v>134</v>
      </c>
      <c r="E122" s="23">
        <v>46</v>
      </c>
    </row>
    <row r="123" spans="1:5" ht="50.25" customHeight="1" x14ac:dyDescent="0.25">
      <c r="A123" s="27" t="s">
        <v>2</v>
      </c>
      <c r="B123" s="28" t="s">
        <v>130</v>
      </c>
      <c r="C123" s="24" t="s">
        <v>135</v>
      </c>
      <c r="D123" s="22" t="s">
        <v>136</v>
      </c>
      <c r="E123" s="23">
        <v>47</v>
      </c>
    </row>
    <row r="124" spans="1:5" ht="50.25" customHeight="1" x14ac:dyDescent="0.25">
      <c r="A124" s="27" t="s">
        <v>2</v>
      </c>
      <c r="B124" s="28" t="s">
        <v>130</v>
      </c>
      <c r="C124" s="24" t="s">
        <v>135</v>
      </c>
      <c r="D124" s="22" t="s">
        <v>137</v>
      </c>
      <c r="E124" s="23">
        <v>48</v>
      </c>
    </row>
    <row r="125" spans="1:5" ht="50.25" customHeight="1" x14ac:dyDescent="0.25">
      <c r="A125" s="34" t="s">
        <v>2</v>
      </c>
      <c r="B125" s="28" t="s">
        <v>130</v>
      </c>
      <c r="C125" s="24" t="s">
        <v>138</v>
      </c>
      <c r="D125" s="22" t="s">
        <v>139</v>
      </c>
      <c r="E125" s="23">
        <v>49</v>
      </c>
    </row>
    <row r="126" spans="1:5" ht="50.25" customHeight="1" x14ac:dyDescent="0.25">
      <c r="A126" s="27" t="s">
        <v>2</v>
      </c>
      <c r="B126" s="28" t="s">
        <v>130</v>
      </c>
      <c r="C126" s="24" t="s">
        <v>140</v>
      </c>
      <c r="D126" s="22" t="s">
        <v>141</v>
      </c>
      <c r="E126" s="23">
        <v>50</v>
      </c>
    </row>
    <row r="127" spans="1:5" ht="50.25" customHeight="1" x14ac:dyDescent="0.25">
      <c r="A127" s="27" t="s">
        <v>2</v>
      </c>
      <c r="B127" s="28" t="s">
        <v>142</v>
      </c>
      <c r="C127" s="24"/>
      <c r="D127" s="22" t="s">
        <v>143</v>
      </c>
      <c r="E127" s="23">
        <v>51</v>
      </c>
    </row>
    <row r="128" spans="1:5" ht="50.25" customHeight="1" x14ac:dyDescent="0.25">
      <c r="A128" s="27" t="s">
        <v>2</v>
      </c>
      <c r="B128" s="28" t="s">
        <v>142</v>
      </c>
      <c r="C128" s="24"/>
      <c r="D128" s="31" t="s">
        <v>144</v>
      </c>
      <c r="E128" s="23">
        <v>52</v>
      </c>
    </row>
    <row r="129" spans="1:5" ht="50.25" customHeight="1" x14ac:dyDescent="0.25">
      <c r="A129" s="27" t="s">
        <v>2</v>
      </c>
      <c r="B129" s="28" t="s">
        <v>142</v>
      </c>
      <c r="C129" s="24" t="s">
        <v>66</v>
      </c>
      <c r="D129" s="22" t="s">
        <v>145</v>
      </c>
      <c r="E129" s="23">
        <v>53</v>
      </c>
    </row>
    <row r="130" spans="1:5" ht="50.25" customHeight="1" x14ac:dyDescent="0.25">
      <c r="A130" s="27" t="s">
        <v>2</v>
      </c>
      <c r="B130" s="28" t="s">
        <v>146</v>
      </c>
      <c r="C130" s="24"/>
      <c r="D130" s="25" t="s">
        <v>147</v>
      </c>
      <c r="E130" s="23">
        <v>54</v>
      </c>
    </row>
    <row r="131" spans="1:5" ht="50.25" customHeight="1" x14ac:dyDescent="0.25">
      <c r="A131" s="27" t="s">
        <v>2</v>
      </c>
      <c r="B131" s="28" t="s">
        <v>146</v>
      </c>
      <c r="C131" s="24" t="s">
        <v>92</v>
      </c>
      <c r="D131" s="22" t="s">
        <v>148</v>
      </c>
      <c r="E131" s="23">
        <v>55</v>
      </c>
    </row>
    <row r="132" spans="1:5" ht="50.25" customHeight="1" x14ac:dyDescent="0.25">
      <c r="A132" s="27" t="s">
        <v>2</v>
      </c>
      <c r="B132" s="28" t="s">
        <v>149</v>
      </c>
      <c r="C132" s="24" t="s">
        <v>150</v>
      </c>
      <c r="D132" s="25" t="s">
        <v>150</v>
      </c>
      <c r="E132" s="23">
        <v>56</v>
      </c>
    </row>
    <row r="133" spans="1:5" ht="50.25" customHeight="1" x14ac:dyDescent="0.25">
      <c r="A133" s="27" t="s">
        <v>2</v>
      </c>
      <c r="B133" s="28" t="s">
        <v>149</v>
      </c>
      <c r="C133" s="29"/>
      <c r="D133" s="22" t="s">
        <v>151</v>
      </c>
      <c r="E133" s="23">
        <v>57</v>
      </c>
    </row>
    <row r="134" spans="1:5" ht="50.25" customHeight="1" x14ac:dyDescent="0.25">
      <c r="A134" s="27" t="s">
        <v>4</v>
      </c>
      <c r="B134" s="28" t="s">
        <v>152</v>
      </c>
      <c r="C134" s="24"/>
      <c r="D134" s="26" t="s">
        <v>153</v>
      </c>
      <c r="E134" s="23">
        <v>58</v>
      </c>
    </row>
    <row r="135" spans="1:5" ht="50.25" customHeight="1" x14ac:dyDescent="0.25">
      <c r="A135" s="27" t="s">
        <v>4</v>
      </c>
      <c r="B135" s="28" t="s">
        <v>152</v>
      </c>
      <c r="C135" s="24"/>
      <c r="D135" s="22" t="s">
        <v>154</v>
      </c>
      <c r="E135" s="23">
        <v>59</v>
      </c>
    </row>
    <row r="136" spans="1:5" ht="50.25" customHeight="1" x14ac:dyDescent="0.25">
      <c r="A136" s="27" t="s">
        <v>4</v>
      </c>
      <c r="B136" s="28" t="s">
        <v>152</v>
      </c>
      <c r="C136" s="24" t="s">
        <v>66</v>
      </c>
      <c r="D136" s="22" t="s">
        <v>155</v>
      </c>
      <c r="E136" s="23">
        <v>60</v>
      </c>
    </row>
    <row r="137" spans="1:5" ht="50.25" customHeight="1" x14ac:dyDescent="0.25">
      <c r="A137" s="27" t="s">
        <v>4</v>
      </c>
      <c r="B137" s="28" t="s">
        <v>152</v>
      </c>
      <c r="C137" s="24" t="s">
        <v>66</v>
      </c>
      <c r="D137" s="22" t="s">
        <v>156</v>
      </c>
      <c r="E137" s="23">
        <v>61</v>
      </c>
    </row>
    <row r="138" spans="1:5" ht="50.25" customHeight="1" x14ac:dyDescent="0.25">
      <c r="A138" s="27" t="s">
        <v>4</v>
      </c>
      <c r="B138" s="28" t="s">
        <v>152</v>
      </c>
      <c r="C138" s="24" t="s">
        <v>157</v>
      </c>
      <c r="D138" s="22" t="s">
        <v>158</v>
      </c>
      <c r="E138" s="23">
        <v>62</v>
      </c>
    </row>
    <row r="139" spans="1:5" ht="50.25" customHeight="1" x14ac:dyDescent="0.25">
      <c r="A139" s="27" t="s">
        <v>4</v>
      </c>
      <c r="B139" s="28" t="s">
        <v>152</v>
      </c>
      <c r="C139" s="24"/>
      <c r="D139" s="22" t="s">
        <v>159</v>
      </c>
      <c r="E139" s="23">
        <v>63</v>
      </c>
    </row>
    <row r="140" spans="1:5" ht="50.25" customHeight="1" x14ac:dyDescent="0.25">
      <c r="A140" s="27" t="s">
        <v>4</v>
      </c>
      <c r="B140" s="28" t="s">
        <v>160</v>
      </c>
      <c r="C140" s="24"/>
      <c r="D140" s="22" t="s">
        <v>161</v>
      </c>
      <c r="E140" s="23">
        <v>64</v>
      </c>
    </row>
    <row r="141" spans="1:5" ht="50.25" customHeight="1" x14ac:dyDescent="0.25">
      <c r="A141" s="27" t="s">
        <v>4</v>
      </c>
      <c r="B141" s="28" t="s">
        <v>160</v>
      </c>
      <c r="C141" s="24"/>
      <c r="D141" s="26" t="s">
        <v>162</v>
      </c>
      <c r="E141" s="23">
        <v>65</v>
      </c>
    </row>
    <row r="142" spans="1:5" ht="50.25" customHeight="1" x14ac:dyDescent="0.25">
      <c r="A142" s="27" t="s">
        <v>4</v>
      </c>
      <c r="B142" s="28" t="s">
        <v>30</v>
      </c>
      <c r="C142" s="24"/>
      <c r="D142" s="37" t="s">
        <v>163</v>
      </c>
      <c r="E142" s="23">
        <v>66</v>
      </c>
    </row>
    <row r="143" spans="1:5" ht="50.25" customHeight="1" x14ac:dyDescent="0.25">
      <c r="A143" s="27" t="s">
        <v>4</v>
      </c>
      <c r="B143" s="28" t="s">
        <v>164</v>
      </c>
      <c r="C143" s="24"/>
      <c r="D143" s="25" t="s">
        <v>165</v>
      </c>
      <c r="E143" s="23">
        <v>67</v>
      </c>
    </row>
    <row r="144" spans="1:5" ht="50.25" customHeight="1" x14ac:dyDescent="0.25">
      <c r="A144" s="27" t="s">
        <v>4</v>
      </c>
      <c r="B144" s="28" t="s">
        <v>164</v>
      </c>
      <c r="C144" s="24"/>
      <c r="D144" s="22" t="s">
        <v>166</v>
      </c>
      <c r="E144" s="23">
        <v>68</v>
      </c>
    </row>
    <row r="145" spans="1:5" ht="50.25" customHeight="1" x14ac:dyDescent="0.25">
      <c r="A145" s="30" t="s">
        <v>4</v>
      </c>
      <c r="B145" s="38" t="s">
        <v>35</v>
      </c>
      <c r="C145" s="29"/>
      <c r="D145" s="39" t="s">
        <v>167</v>
      </c>
      <c r="E145" s="23">
        <v>69</v>
      </c>
    </row>
    <row r="146" spans="1:5" ht="50.25" customHeight="1" x14ac:dyDescent="0.25">
      <c r="A146" s="30" t="s">
        <v>4</v>
      </c>
      <c r="B146" s="38" t="s">
        <v>35</v>
      </c>
      <c r="C146" s="29"/>
      <c r="D146" s="25" t="s">
        <v>168</v>
      </c>
      <c r="E146" s="23">
        <v>70</v>
      </c>
    </row>
  </sheetData>
  <sheetProtection selectLockedCells="1" selectUnlockedCells="1"/>
  <dataValidations count="1">
    <dataValidation type="list" allowBlank="1" showErrorMessage="1" sqref="A117:B117">
      <formula1>INDIRECT(#REF!)</formula1>
      <formula2>0</formula2>
    </dataValidation>
  </dataValidations>
  <pageMargins left="0.7" right="0.7" top="0.75" bottom="0.75" header="0.51180555555555551" footer="0.5118055555555555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9"/>
  <sheetViews>
    <sheetView topLeftCell="C1" workbookViewId="0">
      <selection activeCell="D15" sqref="D15:Q15"/>
      <pivotSelection pane="bottomRight" showHeader="1" extendable="1" dimension="3" start="10" min="10" max="11" activeRow="14" activeCol="3" click="1" r:id="rId1">
        <pivotArea dataOnly="0" outline="0" fieldPosition="0">
          <references count="1">
            <reference field="9" count="1">
              <x v="24"/>
            </reference>
          </references>
        </pivotArea>
      </pivotSelection>
    </sheetView>
  </sheetViews>
  <sheetFormatPr baseColWidth="10" defaultRowHeight="15" x14ac:dyDescent="0.25"/>
  <cols>
    <col min="1" max="1" width="144.7109375" bestFit="1" customWidth="1"/>
    <col min="2" max="2" width="21.42578125" bestFit="1" customWidth="1"/>
    <col min="3" max="3" width="12" bestFit="1" customWidth="1"/>
    <col min="4" max="4" width="161.42578125" bestFit="1" customWidth="1"/>
    <col min="5" max="5" width="24.5703125" bestFit="1" customWidth="1"/>
    <col min="6" max="9" width="13" bestFit="1" customWidth="1"/>
    <col min="10" max="13" width="13.5703125" bestFit="1" customWidth="1"/>
    <col min="14" max="17" width="14.5703125" bestFit="1" customWidth="1"/>
  </cols>
  <sheetData>
    <row r="3" spans="1:17" x14ac:dyDescent="0.25">
      <c r="E3" s="118" t="s">
        <v>495</v>
      </c>
    </row>
    <row r="4" spans="1:17" x14ac:dyDescent="0.25">
      <c r="A4" s="118" t="s">
        <v>194</v>
      </c>
      <c r="B4" s="118" t="s">
        <v>195</v>
      </c>
      <c r="C4" s="118" t="s">
        <v>185</v>
      </c>
      <c r="D4" s="118" t="s">
        <v>186</v>
      </c>
      <c r="E4" t="s">
        <v>489</v>
      </c>
      <c r="F4" t="s">
        <v>490</v>
      </c>
      <c r="G4" t="s">
        <v>491</v>
      </c>
      <c r="H4" t="s">
        <v>492</v>
      </c>
      <c r="I4" t="s">
        <v>493</v>
      </c>
      <c r="J4" t="s">
        <v>496</v>
      </c>
      <c r="K4" t="s">
        <v>497</v>
      </c>
      <c r="L4" t="s">
        <v>498</v>
      </c>
      <c r="M4" t="s">
        <v>499</v>
      </c>
      <c r="N4" t="s">
        <v>500</v>
      </c>
      <c r="O4" t="s">
        <v>501</v>
      </c>
      <c r="P4" t="s">
        <v>502</v>
      </c>
      <c r="Q4" t="s">
        <v>503</v>
      </c>
    </row>
    <row r="5" spans="1:17" x14ac:dyDescent="0.25">
      <c r="A5" t="s">
        <v>376</v>
      </c>
      <c r="B5" t="s">
        <v>450</v>
      </c>
      <c r="C5">
        <v>58</v>
      </c>
      <c r="D5" t="s">
        <v>280</v>
      </c>
      <c r="E5" s="119"/>
      <c r="F5" s="119">
        <v>2</v>
      </c>
      <c r="G5" s="119">
        <v>2</v>
      </c>
      <c r="H5" s="119">
        <v>2</v>
      </c>
      <c r="I5" s="119">
        <v>2</v>
      </c>
      <c r="J5" s="119">
        <v>2</v>
      </c>
      <c r="K5" s="119">
        <v>2</v>
      </c>
      <c r="L5" s="119">
        <v>2</v>
      </c>
      <c r="M5" s="119">
        <v>1</v>
      </c>
      <c r="N5" s="119">
        <v>2</v>
      </c>
      <c r="O5" s="119">
        <v>2</v>
      </c>
      <c r="P5" s="119">
        <v>2</v>
      </c>
      <c r="Q5" s="119">
        <v>1</v>
      </c>
    </row>
    <row r="6" spans="1:17" x14ac:dyDescent="0.25">
      <c r="A6" t="s">
        <v>353</v>
      </c>
      <c r="B6" t="s">
        <v>418</v>
      </c>
      <c r="C6">
        <v>2</v>
      </c>
      <c r="D6" t="s">
        <v>67</v>
      </c>
      <c r="E6" s="119">
        <v>3</v>
      </c>
      <c r="F6" s="119">
        <v>1</v>
      </c>
      <c r="G6" s="119">
        <v>1</v>
      </c>
      <c r="H6" s="119">
        <v>1</v>
      </c>
      <c r="I6" s="119">
        <v>1</v>
      </c>
      <c r="J6" s="119">
        <v>2</v>
      </c>
      <c r="K6" s="119">
        <v>2</v>
      </c>
      <c r="L6" s="119">
        <v>0</v>
      </c>
      <c r="M6" s="119"/>
      <c r="N6" s="119">
        <v>2</v>
      </c>
      <c r="O6" s="119">
        <v>2</v>
      </c>
      <c r="P6" s="119">
        <v>0</v>
      </c>
      <c r="Q6" s="119"/>
    </row>
    <row r="7" spans="1:17" x14ac:dyDescent="0.25">
      <c r="B7" t="s">
        <v>427</v>
      </c>
      <c r="C7">
        <v>16</v>
      </c>
      <c r="D7" t="s">
        <v>90</v>
      </c>
      <c r="E7" s="119">
        <v>4695</v>
      </c>
      <c r="F7" s="119">
        <v>1000</v>
      </c>
      <c r="G7" s="119">
        <v>1000</v>
      </c>
      <c r="H7" s="119">
        <v>1000</v>
      </c>
      <c r="I7" s="119">
        <v>1000</v>
      </c>
      <c r="J7" s="119">
        <v>1360</v>
      </c>
      <c r="K7" s="119">
        <v>1200</v>
      </c>
      <c r="L7" s="119">
        <v>600</v>
      </c>
      <c r="M7" s="119">
        <v>1000</v>
      </c>
      <c r="N7" s="119">
        <v>1360</v>
      </c>
      <c r="O7" s="119">
        <v>1200</v>
      </c>
      <c r="P7" s="119">
        <v>600</v>
      </c>
      <c r="Q7" s="119"/>
    </row>
    <row r="8" spans="1:17" x14ac:dyDescent="0.25">
      <c r="C8">
        <v>18</v>
      </c>
      <c r="D8" t="s">
        <v>93</v>
      </c>
      <c r="E8" s="119">
        <v>3</v>
      </c>
      <c r="F8" s="119">
        <v>11</v>
      </c>
      <c r="G8" s="119">
        <v>6</v>
      </c>
      <c r="H8" s="119">
        <v>6</v>
      </c>
      <c r="I8" s="119">
        <v>1</v>
      </c>
      <c r="J8" s="119">
        <v>19</v>
      </c>
      <c r="K8" s="119">
        <v>6</v>
      </c>
      <c r="L8" s="119">
        <v>0</v>
      </c>
      <c r="M8" s="119">
        <v>6</v>
      </c>
      <c r="N8" s="119">
        <v>19</v>
      </c>
      <c r="O8" s="119">
        <v>6</v>
      </c>
      <c r="P8" s="119">
        <v>0</v>
      </c>
      <c r="Q8" s="119">
        <v>6</v>
      </c>
    </row>
    <row r="9" spans="1:17" x14ac:dyDescent="0.25">
      <c r="C9">
        <v>19</v>
      </c>
      <c r="D9" t="s">
        <v>95</v>
      </c>
      <c r="E9" s="119">
        <v>930</v>
      </c>
      <c r="F9" s="119">
        <v>250</v>
      </c>
      <c r="G9" s="119">
        <v>250</v>
      </c>
      <c r="H9" s="119">
        <v>250</v>
      </c>
      <c r="I9" s="119">
        <v>250</v>
      </c>
      <c r="J9" s="119">
        <v>250</v>
      </c>
      <c r="K9" s="119">
        <v>350</v>
      </c>
      <c r="L9" s="119">
        <v>649</v>
      </c>
      <c r="M9" s="119">
        <v>650</v>
      </c>
      <c r="N9" s="119">
        <v>250</v>
      </c>
      <c r="O9" s="119">
        <v>350</v>
      </c>
      <c r="P9" s="119">
        <v>649</v>
      </c>
      <c r="Q9" s="119">
        <v>650</v>
      </c>
    </row>
    <row r="10" spans="1:17" x14ac:dyDescent="0.25">
      <c r="A10" t="s">
        <v>430</v>
      </c>
      <c r="B10" t="s">
        <v>429</v>
      </c>
      <c r="C10">
        <v>24</v>
      </c>
      <c r="D10" t="s">
        <v>104</v>
      </c>
      <c r="E10" s="119">
        <v>604</v>
      </c>
      <c r="F10" s="119">
        <v>350</v>
      </c>
      <c r="G10" s="119">
        <v>350</v>
      </c>
      <c r="H10" s="119">
        <v>350</v>
      </c>
      <c r="I10" s="119">
        <v>350</v>
      </c>
      <c r="J10" s="119">
        <v>350</v>
      </c>
      <c r="K10" s="119">
        <v>350</v>
      </c>
      <c r="L10" s="119">
        <v>390</v>
      </c>
      <c r="M10" s="119">
        <v>350</v>
      </c>
      <c r="N10" s="119">
        <v>350</v>
      </c>
      <c r="O10" s="119">
        <v>520</v>
      </c>
      <c r="P10" s="119">
        <v>390</v>
      </c>
      <c r="Q10" s="119"/>
    </row>
    <row r="11" spans="1:17" x14ac:dyDescent="0.25">
      <c r="B11" t="s">
        <v>434</v>
      </c>
      <c r="C11">
        <v>32</v>
      </c>
      <c r="D11" t="s">
        <v>112</v>
      </c>
      <c r="E11" s="119">
        <v>15230</v>
      </c>
      <c r="F11" s="119">
        <v>3000</v>
      </c>
      <c r="G11" s="119">
        <v>3000</v>
      </c>
      <c r="H11" s="119">
        <v>3000</v>
      </c>
      <c r="I11" s="119">
        <v>3000</v>
      </c>
      <c r="J11" s="119">
        <v>3904</v>
      </c>
      <c r="K11" s="119">
        <v>3000</v>
      </c>
      <c r="L11" s="119">
        <v>3000</v>
      </c>
      <c r="M11" s="119">
        <v>800</v>
      </c>
      <c r="N11" s="119">
        <v>3500</v>
      </c>
      <c r="O11" s="119">
        <v>3000</v>
      </c>
      <c r="P11" s="119">
        <v>3164</v>
      </c>
      <c r="Q11" s="119">
        <v>200</v>
      </c>
    </row>
    <row r="12" spans="1:17" x14ac:dyDescent="0.25">
      <c r="B12" t="s">
        <v>431</v>
      </c>
      <c r="C12">
        <v>25</v>
      </c>
      <c r="D12" t="s">
        <v>259</v>
      </c>
      <c r="E12" s="119">
        <v>506</v>
      </c>
      <c r="F12" s="119">
        <v>150</v>
      </c>
      <c r="G12" s="119">
        <v>150</v>
      </c>
      <c r="H12" s="119">
        <v>150</v>
      </c>
      <c r="I12" s="119">
        <v>150</v>
      </c>
      <c r="J12" s="119">
        <v>300</v>
      </c>
      <c r="K12" s="119">
        <v>300</v>
      </c>
      <c r="L12" s="119">
        <v>150</v>
      </c>
      <c r="M12" s="119">
        <v>150</v>
      </c>
      <c r="N12" s="119">
        <v>300</v>
      </c>
      <c r="O12" s="119">
        <v>300</v>
      </c>
      <c r="P12" s="119">
        <v>150</v>
      </c>
      <c r="Q12" s="119"/>
    </row>
    <row r="13" spans="1:17" x14ac:dyDescent="0.25">
      <c r="B13" t="s">
        <v>436</v>
      </c>
      <c r="C13">
        <v>35</v>
      </c>
      <c r="D13" t="s">
        <v>274</v>
      </c>
      <c r="E13" s="119">
        <v>13</v>
      </c>
      <c r="F13" s="119">
        <v>4</v>
      </c>
      <c r="G13" s="119">
        <v>4</v>
      </c>
      <c r="H13" s="119">
        <v>4</v>
      </c>
      <c r="I13" s="119">
        <v>4</v>
      </c>
      <c r="J13" s="119">
        <v>6</v>
      </c>
      <c r="K13" s="119">
        <v>10</v>
      </c>
      <c r="L13" s="119">
        <v>3</v>
      </c>
      <c r="M13" s="119"/>
      <c r="N13" s="119">
        <v>6</v>
      </c>
      <c r="O13" s="119">
        <v>10</v>
      </c>
      <c r="P13" s="119">
        <v>3</v>
      </c>
      <c r="Q13" s="119"/>
    </row>
    <row r="14" spans="1:17" x14ac:dyDescent="0.25">
      <c r="B14" t="s">
        <v>433</v>
      </c>
      <c r="C14">
        <v>28</v>
      </c>
      <c r="D14" t="s">
        <v>108</v>
      </c>
      <c r="E14" s="119"/>
      <c r="F14" s="119">
        <v>2</v>
      </c>
      <c r="G14" s="119">
        <v>2</v>
      </c>
      <c r="H14" s="119">
        <v>2</v>
      </c>
      <c r="I14" s="119">
        <v>2</v>
      </c>
      <c r="J14" s="119">
        <v>2</v>
      </c>
      <c r="K14" s="119">
        <v>2</v>
      </c>
      <c r="L14" s="119">
        <v>2</v>
      </c>
      <c r="M14" s="119"/>
      <c r="N14" s="119">
        <v>2</v>
      </c>
      <c r="O14" s="119">
        <v>2</v>
      </c>
      <c r="P14" s="119">
        <v>2</v>
      </c>
      <c r="Q14" s="119"/>
    </row>
    <row r="15" spans="1:17" x14ac:dyDescent="0.25">
      <c r="A15" t="s">
        <v>370</v>
      </c>
      <c r="B15" t="s">
        <v>421</v>
      </c>
      <c r="C15">
        <v>7</v>
      </c>
      <c r="D15" t="s">
        <v>78</v>
      </c>
      <c r="E15" s="119">
        <v>10</v>
      </c>
      <c r="F15" s="119">
        <v>10</v>
      </c>
      <c r="G15" s="119">
        <v>0</v>
      </c>
      <c r="H15" s="119">
        <v>0</v>
      </c>
      <c r="I15" s="119">
        <v>0</v>
      </c>
      <c r="J15" s="119">
        <v>10</v>
      </c>
      <c r="K15" s="119">
        <v>0</v>
      </c>
      <c r="L15" s="119">
        <v>0</v>
      </c>
      <c r="M15" s="119"/>
      <c r="N15" s="119">
        <v>10</v>
      </c>
      <c r="O15" s="119">
        <v>0</v>
      </c>
      <c r="P15" s="119">
        <v>0</v>
      </c>
      <c r="Q15" s="119"/>
    </row>
    <row r="16" spans="1:17" x14ac:dyDescent="0.25">
      <c r="A16" t="s">
        <v>379</v>
      </c>
      <c r="B16" t="s">
        <v>456</v>
      </c>
      <c r="C16">
        <v>72</v>
      </c>
      <c r="D16" t="s">
        <v>324</v>
      </c>
      <c r="E16" s="119">
        <v>4</v>
      </c>
      <c r="F16" s="119">
        <v>2</v>
      </c>
      <c r="G16" s="119">
        <v>2</v>
      </c>
      <c r="H16" s="119">
        <v>2</v>
      </c>
      <c r="I16" s="119">
        <v>2</v>
      </c>
      <c r="J16" s="119">
        <v>2</v>
      </c>
      <c r="K16" s="119">
        <v>2</v>
      </c>
      <c r="L16" s="119">
        <v>2</v>
      </c>
      <c r="M16" s="119"/>
      <c r="N16" s="119">
        <v>2</v>
      </c>
      <c r="O16" s="119">
        <v>2</v>
      </c>
      <c r="P16" s="119">
        <v>2</v>
      </c>
      <c r="Q16" s="119"/>
    </row>
    <row r="17" spans="1:17" x14ac:dyDescent="0.25">
      <c r="B17" t="s">
        <v>425</v>
      </c>
      <c r="C17">
        <v>61</v>
      </c>
      <c r="D17" t="s">
        <v>153</v>
      </c>
      <c r="E17" s="119">
        <v>2000</v>
      </c>
      <c r="F17" s="119">
        <v>1</v>
      </c>
      <c r="G17" s="119">
        <v>1</v>
      </c>
      <c r="H17" s="119">
        <v>1</v>
      </c>
      <c r="I17" s="119">
        <v>1</v>
      </c>
      <c r="J17" s="119">
        <v>1</v>
      </c>
      <c r="K17" s="119">
        <v>1</v>
      </c>
      <c r="L17" s="119">
        <v>0</v>
      </c>
      <c r="M17" s="119">
        <v>1</v>
      </c>
      <c r="N17" s="119">
        <v>1</v>
      </c>
      <c r="O17" s="119">
        <v>1</v>
      </c>
      <c r="P17" s="119">
        <v>0</v>
      </c>
      <c r="Q17" s="119">
        <v>1</v>
      </c>
    </row>
    <row r="18" spans="1:17" x14ac:dyDescent="0.25">
      <c r="C18">
        <v>65</v>
      </c>
      <c r="D18" t="s">
        <v>158</v>
      </c>
      <c r="E18" s="119">
        <v>36</v>
      </c>
      <c r="F18" s="119">
        <v>11</v>
      </c>
      <c r="G18" s="119">
        <v>6</v>
      </c>
      <c r="H18" s="119">
        <v>6</v>
      </c>
      <c r="I18" s="119">
        <v>1</v>
      </c>
      <c r="J18" s="119">
        <v>26</v>
      </c>
      <c r="K18" s="119">
        <v>7</v>
      </c>
      <c r="L18" s="119">
        <v>6</v>
      </c>
      <c r="M18" s="119"/>
      <c r="N18" s="119">
        <v>26</v>
      </c>
      <c r="O18" s="119">
        <v>2</v>
      </c>
      <c r="P18" s="119">
        <v>6</v>
      </c>
      <c r="Q18" s="119"/>
    </row>
    <row r="19" spans="1:17" x14ac:dyDescent="0.25">
      <c r="B19" t="s">
        <v>458</v>
      </c>
      <c r="C19">
        <v>75</v>
      </c>
      <c r="D19" t="s">
        <v>342</v>
      </c>
      <c r="E19" s="119">
        <v>9</v>
      </c>
      <c r="F19" s="119">
        <v>100</v>
      </c>
      <c r="G19" s="119">
        <v>100</v>
      </c>
      <c r="H19" s="119">
        <v>100</v>
      </c>
      <c r="I19" s="119">
        <v>100</v>
      </c>
      <c r="J19" s="119">
        <v>100</v>
      </c>
      <c r="K19" s="119">
        <v>100</v>
      </c>
      <c r="L19" s="119">
        <v>100</v>
      </c>
      <c r="M19" s="119">
        <v>100</v>
      </c>
      <c r="N19" s="119">
        <v>100</v>
      </c>
      <c r="O19" s="119">
        <v>100</v>
      </c>
      <c r="P19" s="119">
        <v>100</v>
      </c>
      <c r="Q19" s="119">
        <v>100</v>
      </c>
    </row>
    <row r="20" spans="1:17" x14ac:dyDescent="0.25">
      <c r="C20">
        <v>76</v>
      </c>
      <c r="D20" t="s">
        <v>347</v>
      </c>
      <c r="E20" s="119"/>
      <c r="F20" s="119">
        <v>100</v>
      </c>
      <c r="G20" s="119">
        <v>100</v>
      </c>
      <c r="H20" s="119">
        <v>100</v>
      </c>
      <c r="I20" s="119">
        <v>100</v>
      </c>
      <c r="J20" s="119">
        <v>100</v>
      </c>
      <c r="K20" s="119">
        <v>100</v>
      </c>
      <c r="L20" s="119">
        <v>100</v>
      </c>
      <c r="M20" s="119">
        <v>100</v>
      </c>
      <c r="N20" s="119">
        <v>100</v>
      </c>
      <c r="O20" s="119">
        <v>100</v>
      </c>
      <c r="P20" s="119">
        <v>100</v>
      </c>
      <c r="Q20" s="119">
        <v>100</v>
      </c>
    </row>
    <row r="21" spans="1:17" x14ac:dyDescent="0.25">
      <c r="B21" t="s">
        <v>449</v>
      </c>
      <c r="C21">
        <v>55</v>
      </c>
      <c r="D21" t="s">
        <v>144</v>
      </c>
      <c r="E21" s="119">
        <v>126</v>
      </c>
      <c r="F21" s="119">
        <v>1</v>
      </c>
      <c r="G21" s="119">
        <v>1</v>
      </c>
      <c r="H21" s="119">
        <v>1</v>
      </c>
      <c r="I21" s="119">
        <v>1</v>
      </c>
      <c r="J21" s="119">
        <v>1</v>
      </c>
      <c r="K21" s="119">
        <v>0</v>
      </c>
      <c r="L21" s="119">
        <v>2</v>
      </c>
      <c r="M21" s="119">
        <v>1</v>
      </c>
      <c r="N21" s="119">
        <v>1</v>
      </c>
      <c r="O21" s="119">
        <v>0</v>
      </c>
      <c r="P21" s="119">
        <v>2</v>
      </c>
      <c r="Q21" s="119">
        <v>1</v>
      </c>
    </row>
    <row r="22" spans="1:17" x14ac:dyDescent="0.25">
      <c r="C22">
        <v>56</v>
      </c>
      <c r="D22" t="s">
        <v>145</v>
      </c>
      <c r="E22" s="119">
        <v>2</v>
      </c>
      <c r="F22" s="119">
        <v>0</v>
      </c>
      <c r="G22" s="119">
        <v>0</v>
      </c>
      <c r="H22" s="119">
        <v>1</v>
      </c>
      <c r="I22" s="119">
        <v>0</v>
      </c>
      <c r="J22" s="119">
        <v>0</v>
      </c>
      <c r="K22" s="119">
        <v>0</v>
      </c>
      <c r="L22" s="119">
        <v>1</v>
      </c>
      <c r="M22" s="119">
        <v>1</v>
      </c>
      <c r="N22" s="119">
        <v>0</v>
      </c>
      <c r="O22" s="119">
        <v>0</v>
      </c>
      <c r="P22" s="119">
        <v>1</v>
      </c>
      <c r="Q22" s="119">
        <v>1</v>
      </c>
    </row>
    <row r="23" spans="1:17" x14ac:dyDescent="0.25">
      <c r="B23" t="s">
        <v>457</v>
      </c>
      <c r="C23">
        <v>74</v>
      </c>
      <c r="D23" t="s">
        <v>167</v>
      </c>
      <c r="E23" s="119">
        <v>0</v>
      </c>
      <c r="F23" s="119">
        <v>1</v>
      </c>
      <c r="G23" s="119">
        <v>1</v>
      </c>
      <c r="H23" s="119">
        <v>1</v>
      </c>
      <c r="I23" s="119">
        <v>1</v>
      </c>
      <c r="J23" s="119">
        <v>1</v>
      </c>
      <c r="K23" s="119">
        <v>1</v>
      </c>
      <c r="L23" s="119">
        <v>4</v>
      </c>
      <c r="M23" s="119">
        <v>1</v>
      </c>
      <c r="N23" s="119">
        <v>1</v>
      </c>
      <c r="O23" s="119">
        <v>1</v>
      </c>
      <c r="P23" s="119">
        <v>4</v>
      </c>
      <c r="Q23" s="119">
        <v>1</v>
      </c>
    </row>
    <row r="24" spans="1:17" x14ac:dyDescent="0.25">
      <c r="B24" t="s">
        <v>428</v>
      </c>
      <c r="C24">
        <v>69</v>
      </c>
      <c r="D24" t="s">
        <v>331</v>
      </c>
      <c r="E24" s="119">
        <v>2500</v>
      </c>
      <c r="F24" s="119">
        <v>200</v>
      </c>
      <c r="G24" s="119">
        <v>200</v>
      </c>
      <c r="H24" s="119">
        <v>200</v>
      </c>
      <c r="I24" s="119">
        <v>200</v>
      </c>
      <c r="J24" s="119">
        <v>200</v>
      </c>
      <c r="K24" s="119">
        <v>200</v>
      </c>
      <c r="L24" s="119">
        <v>200</v>
      </c>
      <c r="M24" s="119">
        <v>200</v>
      </c>
      <c r="N24" s="119">
        <v>200</v>
      </c>
      <c r="O24" s="119">
        <v>200</v>
      </c>
      <c r="P24" s="119">
        <v>200</v>
      </c>
      <c r="Q24" s="119">
        <v>200</v>
      </c>
    </row>
    <row r="25" spans="1:17" x14ac:dyDescent="0.25">
      <c r="A25" t="s">
        <v>381</v>
      </c>
      <c r="B25" t="s">
        <v>446</v>
      </c>
      <c r="C25">
        <v>51</v>
      </c>
      <c r="D25" t="s">
        <v>141</v>
      </c>
      <c r="E25" s="119">
        <v>12820</v>
      </c>
      <c r="F25" s="119">
        <v>5000</v>
      </c>
      <c r="G25" s="119">
        <v>5000</v>
      </c>
      <c r="H25" s="119">
        <v>5000</v>
      </c>
      <c r="I25" s="119">
        <v>5000</v>
      </c>
      <c r="J25" s="119">
        <v>7773.26</v>
      </c>
      <c r="K25" s="119">
        <v>2113.25</v>
      </c>
      <c r="L25" s="119">
        <v>6534</v>
      </c>
      <c r="M25" s="119">
        <v>10000</v>
      </c>
      <c r="N25" s="119">
        <v>7773.26</v>
      </c>
      <c r="O25" s="119">
        <v>9012</v>
      </c>
      <c r="P25" s="119">
        <v>5785.9</v>
      </c>
      <c r="Q25" s="119">
        <v>0</v>
      </c>
    </row>
    <row r="26" spans="1:17" x14ac:dyDescent="0.25">
      <c r="B26" t="s">
        <v>445</v>
      </c>
      <c r="C26">
        <v>46</v>
      </c>
      <c r="D26" t="s">
        <v>132</v>
      </c>
      <c r="E26" s="119">
        <v>31.1</v>
      </c>
      <c r="F26" s="119">
        <v>17.5</v>
      </c>
      <c r="G26" s="119">
        <v>17.5</v>
      </c>
      <c r="H26" s="119">
        <v>17.5</v>
      </c>
      <c r="I26" s="119">
        <v>17.5</v>
      </c>
      <c r="J26" s="119">
        <v>17.5</v>
      </c>
      <c r="K26" s="119">
        <v>18</v>
      </c>
      <c r="L26" s="119">
        <v>11.61</v>
      </c>
      <c r="M26" s="119">
        <v>10</v>
      </c>
      <c r="N26" s="119">
        <v>17</v>
      </c>
      <c r="O26" s="119">
        <v>17.989999999999998</v>
      </c>
      <c r="P26" s="119">
        <v>4.0999999999999996</v>
      </c>
      <c r="Q26" s="119">
        <v>0</v>
      </c>
    </row>
    <row r="27" spans="1:17" x14ac:dyDescent="0.25">
      <c r="A27" t="s">
        <v>382</v>
      </c>
      <c r="B27" t="s">
        <v>419</v>
      </c>
      <c r="C27">
        <v>4</v>
      </c>
      <c r="D27" t="s">
        <v>72</v>
      </c>
      <c r="E27" s="119">
        <v>5996</v>
      </c>
      <c r="F27" s="119">
        <v>1100</v>
      </c>
      <c r="G27" s="119">
        <v>1100</v>
      </c>
      <c r="H27" s="119">
        <v>1100</v>
      </c>
      <c r="I27" s="119">
        <v>1100</v>
      </c>
      <c r="J27" s="119">
        <v>1200</v>
      </c>
      <c r="K27" s="119">
        <v>0</v>
      </c>
      <c r="L27" s="119">
        <v>200</v>
      </c>
      <c r="M27" s="119">
        <v>10500</v>
      </c>
      <c r="N27" s="119">
        <v>1250</v>
      </c>
      <c r="O27" s="119">
        <v>0</v>
      </c>
      <c r="P27" s="119">
        <v>137</v>
      </c>
      <c r="Q27" s="119"/>
    </row>
    <row r="28" spans="1:17" x14ac:dyDescent="0.25">
      <c r="C28">
        <v>5</v>
      </c>
      <c r="D28" t="s">
        <v>76</v>
      </c>
      <c r="E28" s="119">
        <v>244</v>
      </c>
      <c r="F28" s="119">
        <v>100</v>
      </c>
      <c r="G28" s="119">
        <v>100</v>
      </c>
      <c r="H28" s="119">
        <v>100</v>
      </c>
      <c r="I28" s="119">
        <v>100</v>
      </c>
      <c r="J28" s="119">
        <v>100</v>
      </c>
      <c r="K28" s="119">
        <v>70</v>
      </c>
      <c r="L28" s="119">
        <v>50</v>
      </c>
      <c r="M28" s="119"/>
      <c r="N28" s="119">
        <v>100</v>
      </c>
      <c r="O28" s="119">
        <v>100</v>
      </c>
      <c r="P28" s="119">
        <v>50</v>
      </c>
      <c r="Q28" s="119"/>
    </row>
    <row r="29" spans="1:17" x14ac:dyDescent="0.25">
      <c r="A29" t="s">
        <v>494</v>
      </c>
      <c r="E29" s="119">
        <v>45762.1</v>
      </c>
      <c r="F29" s="119">
        <v>11413.5</v>
      </c>
      <c r="G29" s="119">
        <v>11393.5</v>
      </c>
      <c r="H29" s="119">
        <v>11394.5</v>
      </c>
      <c r="I29" s="119">
        <v>11383.5</v>
      </c>
      <c r="J29" s="119">
        <v>15726.76</v>
      </c>
      <c r="K29" s="119">
        <v>7834.25</v>
      </c>
      <c r="L29" s="119">
        <v>12006.61</v>
      </c>
      <c r="M29" s="119">
        <v>23871</v>
      </c>
      <c r="N29" s="119">
        <v>15372.26</v>
      </c>
      <c r="O29" s="119">
        <v>14927.99</v>
      </c>
      <c r="P29" s="119">
        <v>11352</v>
      </c>
      <c r="Q29" s="119">
        <v>1261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4"/>
  <sheetViews>
    <sheetView workbookViewId="0">
      <selection activeCell="A10" sqref="A10"/>
    </sheetView>
  </sheetViews>
  <sheetFormatPr baseColWidth="10" defaultRowHeight="15" x14ac:dyDescent="0.25"/>
  <cols>
    <col min="1" max="1" width="30" customWidth="1"/>
    <col min="2" max="2" width="13" customWidth="1"/>
    <col min="3" max="3" width="21.140625" customWidth="1"/>
    <col min="4" max="4" width="238.28515625" bestFit="1" customWidth="1"/>
    <col min="5" max="5" width="55.28515625" bestFit="1" customWidth="1"/>
    <col min="6" max="6" width="58.28515625" bestFit="1" customWidth="1"/>
  </cols>
  <sheetData>
    <row r="3" spans="1:6" x14ac:dyDescent="0.25">
      <c r="E3" s="118" t="s">
        <v>495</v>
      </c>
    </row>
    <row r="4" spans="1:6" x14ac:dyDescent="0.25">
      <c r="A4" s="118" t="s">
        <v>179</v>
      </c>
      <c r="B4" s="118" t="s">
        <v>181</v>
      </c>
      <c r="C4" s="118" t="s">
        <v>183</v>
      </c>
      <c r="D4" s="118" t="s">
        <v>184</v>
      </c>
      <c r="E4" t="s">
        <v>505</v>
      </c>
      <c r="F4" t="s">
        <v>506</v>
      </c>
    </row>
    <row r="5" spans="1:6" x14ac:dyDescent="0.25">
      <c r="A5">
        <v>1</v>
      </c>
      <c r="B5">
        <v>1</v>
      </c>
      <c r="C5">
        <v>638</v>
      </c>
      <c r="D5" t="s">
        <v>211</v>
      </c>
      <c r="E5" s="119">
        <v>1</v>
      </c>
      <c r="F5" s="119">
        <v>1</v>
      </c>
    </row>
    <row r="6" spans="1:6" x14ac:dyDescent="0.25">
      <c r="C6">
        <v>639</v>
      </c>
      <c r="D6" t="s">
        <v>218</v>
      </c>
      <c r="E6" s="119">
        <v>1.75</v>
      </c>
      <c r="F6" s="119">
        <v>1</v>
      </c>
    </row>
    <row r="7" spans="1:6" x14ac:dyDescent="0.25">
      <c r="B7">
        <v>2</v>
      </c>
      <c r="C7">
        <v>640</v>
      </c>
      <c r="D7" t="s">
        <v>223</v>
      </c>
      <c r="E7" s="119">
        <v>1.7350000000000001</v>
      </c>
      <c r="F7" s="119">
        <v>0.45462500000000006</v>
      </c>
    </row>
    <row r="8" spans="1:6" x14ac:dyDescent="0.25">
      <c r="B8">
        <v>3</v>
      </c>
      <c r="C8">
        <v>641</v>
      </c>
      <c r="D8" t="s">
        <v>232</v>
      </c>
      <c r="E8" s="119">
        <v>1</v>
      </c>
      <c r="F8" s="119">
        <v>1</v>
      </c>
    </row>
    <row r="9" spans="1:6" x14ac:dyDescent="0.25">
      <c r="C9">
        <v>642</v>
      </c>
      <c r="D9" t="s">
        <v>238</v>
      </c>
      <c r="E9" s="119">
        <v>1.1000000000000001</v>
      </c>
      <c r="F9" s="119">
        <v>1.1000000000000001</v>
      </c>
    </row>
    <row r="10" spans="1:6" x14ac:dyDescent="0.25">
      <c r="B10">
        <v>5</v>
      </c>
      <c r="C10">
        <v>643</v>
      </c>
      <c r="D10" t="s">
        <v>242</v>
      </c>
      <c r="E10" s="119">
        <v>1.04</v>
      </c>
      <c r="F10" s="119">
        <v>0.79</v>
      </c>
    </row>
    <row r="11" spans="1:6" x14ac:dyDescent="0.25">
      <c r="C11">
        <v>644</v>
      </c>
      <c r="D11" t="s">
        <v>246</v>
      </c>
      <c r="E11" s="119">
        <v>1.899</v>
      </c>
      <c r="F11" s="119">
        <v>1.899</v>
      </c>
    </row>
    <row r="12" spans="1:6" x14ac:dyDescent="0.25">
      <c r="C12">
        <v>645</v>
      </c>
      <c r="D12" t="s">
        <v>250</v>
      </c>
      <c r="E12" s="119">
        <v>2.25</v>
      </c>
      <c r="F12" s="119">
        <v>2.25</v>
      </c>
    </row>
    <row r="13" spans="1:6" x14ac:dyDescent="0.25">
      <c r="B13">
        <v>7</v>
      </c>
      <c r="C13">
        <v>646</v>
      </c>
      <c r="D13" t="s">
        <v>253</v>
      </c>
      <c r="E13" s="119">
        <v>1</v>
      </c>
      <c r="F13" s="119">
        <v>1</v>
      </c>
    </row>
    <row r="14" spans="1:6" x14ac:dyDescent="0.25">
      <c r="B14">
        <v>8</v>
      </c>
      <c r="C14">
        <v>647</v>
      </c>
      <c r="D14" t="s">
        <v>258</v>
      </c>
      <c r="E14" s="119">
        <v>1.165</v>
      </c>
      <c r="F14" s="119">
        <v>1.0425</v>
      </c>
    </row>
    <row r="15" spans="1:6" x14ac:dyDescent="0.25">
      <c r="C15">
        <v>648</v>
      </c>
      <c r="D15" t="s">
        <v>265</v>
      </c>
      <c r="E15" s="119">
        <v>0.89200000000000002</v>
      </c>
      <c r="F15" s="119">
        <v>0.82199999999999995</v>
      </c>
    </row>
    <row r="16" spans="1:6" x14ac:dyDescent="0.25">
      <c r="C16">
        <v>649</v>
      </c>
      <c r="D16" t="s">
        <v>267</v>
      </c>
      <c r="E16" s="119">
        <v>1</v>
      </c>
      <c r="F16" s="119">
        <v>1</v>
      </c>
    </row>
    <row r="17" spans="1:6" x14ac:dyDescent="0.25">
      <c r="C17">
        <v>650</v>
      </c>
      <c r="D17" t="s">
        <v>273</v>
      </c>
      <c r="E17" s="119">
        <v>1.1875</v>
      </c>
      <c r="F17" s="119">
        <v>1.1875</v>
      </c>
    </row>
    <row r="18" spans="1:6" x14ac:dyDescent="0.25">
      <c r="A18">
        <v>2</v>
      </c>
      <c r="B18">
        <v>17</v>
      </c>
      <c r="C18">
        <v>651</v>
      </c>
      <c r="D18" t="s">
        <v>279</v>
      </c>
      <c r="E18" s="119">
        <v>1</v>
      </c>
      <c r="F18" s="119">
        <v>1</v>
      </c>
    </row>
    <row r="19" spans="1:6" x14ac:dyDescent="0.25">
      <c r="C19">
        <v>652</v>
      </c>
      <c r="D19" t="s">
        <v>285</v>
      </c>
      <c r="E19" s="119">
        <v>1</v>
      </c>
      <c r="F19" s="119">
        <v>1</v>
      </c>
    </row>
    <row r="20" spans="1:6" x14ac:dyDescent="0.25">
      <c r="B20">
        <v>19</v>
      </c>
      <c r="C20">
        <v>656</v>
      </c>
      <c r="D20" t="s">
        <v>301</v>
      </c>
      <c r="E20" s="119">
        <v>0.81585714285714284</v>
      </c>
      <c r="F20" s="119">
        <v>0.55842857142857139</v>
      </c>
    </row>
    <row r="21" spans="1:6" x14ac:dyDescent="0.25">
      <c r="C21">
        <v>657</v>
      </c>
      <c r="D21" t="s">
        <v>307</v>
      </c>
      <c r="E21" s="119">
        <v>1.3210255000000002</v>
      </c>
      <c r="F21" s="119">
        <v>1.1285580000000002</v>
      </c>
    </row>
    <row r="22" spans="1:6" x14ac:dyDescent="0.25">
      <c r="B22">
        <v>20</v>
      </c>
      <c r="C22">
        <v>654</v>
      </c>
      <c r="D22" t="s">
        <v>293</v>
      </c>
      <c r="E22" s="119">
        <v>1</v>
      </c>
      <c r="F22" s="119">
        <v>1</v>
      </c>
    </row>
    <row r="23" spans="1:6" x14ac:dyDescent="0.25">
      <c r="C23">
        <v>655</v>
      </c>
      <c r="D23" t="s">
        <v>298</v>
      </c>
      <c r="E23" s="119">
        <v>2</v>
      </c>
      <c r="F23" s="119">
        <v>2</v>
      </c>
    </row>
    <row r="24" spans="1:6" x14ac:dyDescent="0.25">
      <c r="B24">
        <v>21</v>
      </c>
      <c r="C24">
        <v>653</v>
      </c>
      <c r="D24" t="s">
        <v>290</v>
      </c>
      <c r="E24" s="119">
        <v>1</v>
      </c>
      <c r="F24" s="119">
        <v>1</v>
      </c>
    </row>
    <row r="25" spans="1:6" x14ac:dyDescent="0.25">
      <c r="A25">
        <v>3</v>
      </c>
      <c r="B25">
        <v>24</v>
      </c>
      <c r="C25">
        <v>658</v>
      </c>
      <c r="D25" t="s">
        <v>311</v>
      </c>
      <c r="E25" s="119">
        <v>1.8</v>
      </c>
      <c r="F25" s="119">
        <v>1.55</v>
      </c>
    </row>
    <row r="26" spans="1:6" x14ac:dyDescent="0.25">
      <c r="C26">
        <v>659</v>
      </c>
      <c r="D26" t="s">
        <v>315</v>
      </c>
      <c r="E26" s="119">
        <v>1</v>
      </c>
      <c r="F26" s="119">
        <v>1</v>
      </c>
    </row>
    <row r="27" spans="1:6" x14ac:dyDescent="0.25">
      <c r="C27">
        <v>660</v>
      </c>
      <c r="D27" t="s">
        <v>320</v>
      </c>
      <c r="E27" s="119">
        <v>0.75</v>
      </c>
      <c r="F27" s="119">
        <v>0.75</v>
      </c>
    </row>
    <row r="28" spans="1:6" x14ac:dyDescent="0.25">
      <c r="B28">
        <v>26</v>
      </c>
      <c r="C28">
        <v>661</v>
      </c>
      <c r="D28" t="s">
        <v>323</v>
      </c>
      <c r="E28" s="119">
        <v>0.75</v>
      </c>
      <c r="F28" s="119">
        <v>0.75</v>
      </c>
    </row>
    <row r="29" spans="1:6" x14ac:dyDescent="0.25">
      <c r="C29">
        <v>662</v>
      </c>
      <c r="D29" t="s">
        <v>327</v>
      </c>
      <c r="E29" s="119">
        <v>1.1666666666666667</v>
      </c>
      <c r="F29" s="119">
        <v>1.1666666666666667</v>
      </c>
    </row>
    <row r="30" spans="1:6" x14ac:dyDescent="0.25">
      <c r="B30">
        <v>27</v>
      </c>
      <c r="C30">
        <v>663</v>
      </c>
      <c r="D30" t="s">
        <v>330</v>
      </c>
      <c r="E30" s="119">
        <v>1</v>
      </c>
      <c r="F30" s="119">
        <v>1</v>
      </c>
    </row>
    <row r="31" spans="1:6" x14ac:dyDescent="0.25">
      <c r="C31">
        <v>664</v>
      </c>
      <c r="D31" t="s">
        <v>335</v>
      </c>
      <c r="E31" s="119">
        <v>1.75</v>
      </c>
      <c r="F31" s="119">
        <v>1.75</v>
      </c>
    </row>
    <row r="32" spans="1:6" x14ac:dyDescent="0.25">
      <c r="C32">
        <v>665</v>
      </c>
      <c r="D32" t="s">
        <v>338</v>
      </c>
      <c r="E32" s="119">
        <v>1.5</v>
      </c>
      <c r="F32" s="119">
        <v>1</v>
      </c>
    </row>
    <row r="33" spans="1:6" x14ac:dyDescent="0.25">
      <c r="B33">
        <v>31</v>
      </c>
      <c r="C33">
        <v>666</v>
      </c>
      <c r="D33" t="s">
        <v>341</v>
      </c>
      <c r="E33" s="119">
        <v>1</v>
      </c>
      <c r="F33" s="119">
        <v>1</v>
      </c>
    </row>
    <row r="34" spans="1:6" x14ac:dyDescent="0.25">
      <c r="A34" t="s">
        <v>494</v>
      </c>
      <c r="E34" s="119">
        <v>35.872049309523817</v>
      </c>
      <c r="F34" s="119">
        <v>32.199278238095246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0"/>
    <pageSetUpPr fitToPage="1"/>
  </sheetPr>
  <dimension ref="A1:IV42"/>
  <sheetViews>
    <sheetView tabSelected="1" zoomScale="66" zoomScaleNormal="66" zoomScaleSheetLayoutView="75" zoomScalePageLayoutView="90" workbookViewId="0">
      <pane ySplit="2" topLeftCell="A3" activePane="bottomLeft" state="frozen"/>
      <selection activeCell="A2" sqref="A2"/>
      <selection pane="bottomLeft" activeCell="H29" sqref="H29"/>
    </sheetView>
  </sheetViews>
  <sheetFormatPr baseColWidth="10" defaultColWidth="11" defaultRowHeight="12.75" x14ac:dyDescent="0.25"/>
  <cols>
    <col min="1" max="1" width="7.42578125" style="96" customWidth="1"/>
    <col min="2" max="2" width="16.28515625" style="87" customWidth="1"/>
    <col min="3" max="3" width="7.42578125" style="96" customWidth="1"/>
    <col min="4" max="4" width="14.140625" style="95" customWidth="1"/>
    <col min="5" max="5" width="10.140625" style="96" customWidth="1"/>
    <col min="6" max="6" width="21.42578125" style="95" customWidth="1"/>
    <col min="7" max="7" width="12.85546875" style="94" customWidth="1"/>
    <col min="8" max="8" width="100.85546875" style="93" customWidth="1"/>
    <col min="9" max="9" width="11.85546875" style="91" hidden="1" customWidth="1"/>
    <col min="10" max="10" width="20.140625" style="92" hidden="1" customWidth="1"/>
    <col min="11" max="11" width="16.5703125" style="91" customWidth="1"/>
    <col min="12" max="12" width="14.140625" style="87" hidden="1" customWidth="1"/>
    <col min="13" max="13" width="14.140625" style="91" hidden="1" customWidth="1"/>
    <col min="14" max="14" width="25" style="87" customWidth="1"/>
    <col min="15" max="15" width="14.140625" style="91" customWidth="1"/>
    <col min="16" max="16" width="35.7109375" style="87" customWidth="1"/>
    <col min="17" max="17" width="41" style="87" customWidth="1"/>
    <col min="18" max="18" width="14.140625" style="87" customWidth="1"/>
    <col min="19" max="19" width="17.7109375" style="87" customWidth="1"/>
    <col min="20" max="20" width="16.140625" style="87" customWidth="1"/>
    <col min="21" max="21" width="13.42578125" style="90" hidden="1" customWidth="1"/>
    <col min="22" max="22" width="17.28515625" style="87" hidden="1" customWidth="1"/>
    <col min="23" max="23" width="22.28515625" style="90" hidden="1" customWidth="1"/>
    <col min="24" max="24" width="16.140625" style="90" hidden="1" customWidth="1"/>
    <col min="25" max="25" width="18.7109375" style="90" hidden="1" customWidth="1"/>
    <col min="26" max="26" width="14.140625" style="88" hidden="1" customWidth="1"/>
    <col min="27" max="29" width="11" style="89" hidden="1" customWidth="1"/>
    <col min="30" max="31" width="9.7109375" style="89" hidden="1" customWidth="1"/>
    <col min="32" max="32" width="11.28515625" style="88" customWidth="1"/>
    <col min="33" max="33" width="7.85546875" style="88" customWidth="1"/>
    <col min="34" max="35" width="9.7109375" style="88" customWidth="1"/>
    <col min="36" max="36" width="15" style="88" customWidth="1"/>
    <col min="37" max="38" width="9.7109375" style="88" customWidth="1"/>
    <col min="39" max="39" width="14.140625" style="88" customWidth="1"/>
    <col min="40" max="40" width="15.42578125" style="88" customWidth="1"/>
    <col min="41" max="41" width="14.140625" style="88" customWidth="1"/>
    <col min="42" max="42" width="22.42578125" style="88" customWidth="1"/>
    <col min="43" max="43" width="24.42578125" style="88" customWidth="1"/>
    <col min="44" max="44" width="20.140625" style="88" customWidth="1"/>
    <col min="45" max="47" width="19" style="88" customWidth="1"/>
    <col min="48" max="48" width="17.7109375" style="88" customWidth="1"/>
    <col min="49" max="49" width="19.7109375" style="88" customWidth="1"/>
    <col min="50" max="50" width="17.85546875" style="88" customWidth="1"/>
    <col min="51" max="51" width="8.85546875" style="88" customWidth="1"/>
    <col min="52" max="52" width="7.85546875" style="88" customWidth="1"/>
    <col min="53" max="53" width="14.85546875" style="88" customWidth="1"/>
    <col min="54" max="54" width="14.28515625" style="88" customWidth="1"/>
    <col min="55" max="55" width="72.7109375" style="88" customWidth="1"/>
    <col min="56" max="56" width="92.42578125" style="87" hidden="1" customWidth="1"/>
    <col min="57" max="16384" width="11" style="87"/>
  </cols>
  <sheetData>
    <row r="1" spans="1:256" s="115" customFormat="1" ht="64.5" customHeight="1" x14ac:dyDescent="0.25">
      <c r="A1" s="162" t="s">
        <v>169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3" t="s">
        <v>170</v>
      </c>
      <c r="U1" s="163"/>
      <c r="V1" s="163"/>
      <c r="W1" s="163"/>
      <c r="X1" s="163"/>
      <c r="Y1" s="163"/>
      <c r="Z1" s="163"/>
      <c r="AA1" s="166" t="s">
        <v>171</v>
      </c>
      <c r="AB1" s="166"/>
      <c r="AC1" s="166"/>
      <c r="AD1" s="166"/>
      <c r="AE1" s="166"/>
      <c r="AF1" s="166" t="s">
        <v>172</v>
      </c>
      <c r="AG1" s="166"/>
      <c r="AH1" s="166"/>
      <c r="AI1" s="166"/>
      <c r="AJ1" s="166"/>
      <c r="AK1" s="166" t="s">
        <v>173</v>
      </c>
      <c r="AL1" s="166"/>
      <c r="AM1" s="166"/>
      <c r="AN1" s="166"/>
      <c r="AO1" s="166"/>
      <c r="AP1" s="166" t="s">
        <v>174</v>
      </c>
      <c r="AQ1" s="166"/>
      <c r="AR1" s="166"/>
      <c r="AS1" s="166"/>
      <c r="AT1" s="166"/>
      <c r="AU1" s="166" t="s">
        <v>175</v>
      </c>
      <c r="AV1" s="166"/>
      <c r="AW1" s="166"/>
      <c r="AX1" s="166"/>
      <c r="AY1" s="166"/>
      <c r="AZ1" s="164" t="s">
        <v>176</v>
      </c>
      <c r="BA1" s="165"/>
      <c r="BB1" s="138"/>
      <c r="BC1" s="146"/>
      <c r="BD1" s="139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  <c r="FH1" s="116"/>
      <c r="FI1" s="116"/>
      <c r="FJ1" s="116"/>
      <c r="FK1" s="116"/>
      <c r="FL1" s="116"/>
      <c r="FM1" s="116"/>
      <c r="FN1" s="116"/>
      <c r="FO1" s="116"/>
      <c r="FP1" s="116"/>
      <c r="FQ1" s="116"/>
      <c r="FR1" s="116"/>
      <c r="FS1" s="116"/>
      <c r="FT1" s="116"/>
      <c r="FU1" s="116"/>
      <c r="FV1" s="116"/>
      <c r="FW1" s="116"/>
      <c r="FX1" s="116"/>
      <c r="FY1" s="116"/>
      <c r="FZ1" s="116"/>
      <c r="GA1" s="116"/>
      <c r="GB1" s="116"/>
      <c r="GC1" s="116"/>
      <c r="GD1" s="116"/>
      <c r="GE1" s="116"/>
      <c r="GF1" s="116"/>
      <c r="GG1" s="116"/>
      <c r="GH1" s="116"/>
      <c r="GI1" s="116"/>
      <c r="GJ1" s="116"/>
      <c r="GK1" s="116"/>
      <c r="GL1" s="116"/>
      <c r="GM1" s="116"/>
      <c r="GN1" s="116"/>
      <c r="GO1" s="116"/>
      <c r="GP1" s="116"/>
      <c r="GQ1" s="116"/>
      <c r="GR1" s="116"/>
      <c r="GS1" s="116"/>
      <c r="GT1" s="116"/>
      <c r="GU1" s="116"/>
      <c r="GV1" s="116"/>
      <c r="GW1" s="116"/>
      <c r="GX1" s="116"/>
      <c r="GY1" s="116"/>
      <c r="GZ1" s="116"/>
      <c r="HA1" s="116"/>
      <c r="HB1" s="116"/>
      <c r="HC1" s="116"/>
      <c r="HD1" s="116"/>
      <c r="HE1" s="116"/>
      <c r="HF1" s="116"/>
      <c r="HG1" s="116"/>
      <c r="HH1" s="116"/>
      <c r="HI1" s="116"/>
      <c r="HJ1" s="116"/>
      <c r="HK1" s="116"/>
      <c r="HL1" s="116"/>
      <c r="HM1" s="116"/>
      <c r="HN1" s="116"/>
      <c r="HO1" s="116"/>
      <c r="HP1" s="116"/>
      <c r="HQ1" s="116"/>
      <c r="HR1" s="116"/>
      <c r="HS1" s="116"/>
      <c r="HT1" s="116"/>
      <c r="HU1" s="116"/>
      <c r="HV1" s="116"/>
      <c r="HW1" s="116"/>
      <c r="HX1" s="116"/>
      <c r="HY1" s="116"/>
      <c r="HZ1" s="116"/>
      <c r="IA1" s="116"/>
      <c r="IB1" s="116"/>
      <c r="IC1" s="116"/>
      <c r="ID1" s="116"/>
      <c r="IE1" s="116"/>
      <c r="IF1" s="116"/>
      <c r="IG1" s="116"/>
      <c r="IH1" s="116"/>
      <c r="II1" s="116"/>
      <c r="IJ1" s="116"/>
      <c r="IK1" s="116"/>
      <c r="IL1" s="116"/>
      <c r="IM1" s="116"/>
      <c r="IN1" s="116"/>
      <c r="IO1" s="116"/>
      <c r="IP1" s="116"/>
      <c r="IQ1" s="116"/>
      <c r="IR1" s="116"/>
      <c r="IS1" s="116"/>
      <c r="IT1" s="116"/>
      <c r="IU1" s="116"/>
      <c r="IV1" s="116"/>
    </row>
    <row r="2" spans="1:256" s="113" customFormat="1" ht="66.75" customHeight="1" x14ac:dyDescent="0.25">
      <c r="A2" s="133" t="s">
        <v>177</v>
      </c>
      <c r="B2" s="133" t="s">
        <v>178</v>
      </c>
      <c r="C2" s="133" t="s">
        <v>179</v>
      </c>
      <c r="D2" s="133" t="s">
        <v>180</v>
      </c>
      <c r="E2" s="133" t="s">
        <v>181</v>
      </c>
      <c r="F2" s="133" t="s">
        <v>182</v>
      </c>
      <c r="G2" s="133" t="s">
        <v>183</v>
      </c>
      <c r="H2" s="133" t="s">
        <v>184</v>
      </c>
      <c r="I2" s="133" t="s">
        <v>185</v>
      </c>
      <c r="J2" s="133" t="s">
        <v>186</v>
      </c>
      <c r="K2" s="133" t="s">
        <v>187</v>
      </c>
      <c r="L2" s="133" t="s">
        <v>188</v>
      </c>
      <c r="M2" s="133" t="s">
        <v>189</v>
      </c>
      <c r="N2" s="133" t="s">
        <v>190</v>
      </c>
      <c r="O2" s="134" t="s">
        <v>191</v>
      </c>
      <c r="P2" s="135" t="s">
        <v>192</v>
      </c>
      <c r="Q2" s="135" t="s">
        <v>193</v>
      </c>
      <c r="R2" s="135" t="s">
        <v>194</v>
      </c>
      <c r="S2" s="136" t="s">
        <v>195</v>
      </c>
      <c r="T2" s="133" t="s">
        <v>196</v>
      </c>
      <c r="U2" s="133" t="s">
        <v>197</v>
      </c>
      <c r="V2" s="136" t="s">
        <v>198</v>
      </c>
      <c r="W2" s="136" t="s">
        <v>199</v>
      </c>
      <c r="X2" s="133" t="s">
        <v>200</v>
      </c>
      <c r="Y2" s="136" t="s">
        <v>201</v>
      </c>
      <c r="Z2" s="137" t="s">
        <v>202</v>
      </c>
      <c r="AA2" s="137">
        <v>2013</v>
      </c>
      <c r="AB2" s="137">
        <v>2014</v>
      </c>
      <c r="AC2" s="137">
        <v>2015</v>
      </c>
      <c r="AD2" s="137">
        <v>2016</v>
      </c>
      <c r="AE2" s="137" t="s">
        <v>203</v>
      </c>
      <c r="AF2" s="136">
        <v>2013</v>
      </c>
      <c r="AG2" s="136">
        <v>2014</v>
      </c>
      <c r="AH2" s="134">
        <v>2015</v>
      </c>
      <c r="AI2" s="134">
        <v>2016</v>
      </c>
      <c r="AJ2" s="136" t="s">
        <v>204</v>
      </c>
      <c r="AK2" s="134">
        <v>2013</v>
      </c>
      <c r="AL2" s="134">
        <v>2014</v>
      </c>
      <c r="AM2" s="134">
        <v>2015</v>
      </c>
      <c r="AN2" s="134">
        <v>2016</v>
      </c>
      <c r="AO2" s="134" t="s">
        <v>205</v>
      </c>
      <c r="AP2" s="136">
        <v>2013</v>
      </c>
      <c r="AQ2" s="136">
        <v>2014</v>
      </c>
      <c r="AR2" s="134">
        <v>2015</v>
      </c>
      <c r="AS2" s="134">
        <v>2016</v>
      </c>
      <c r="AT2" s="136" t="s">
        <v>206</v>
      </c>
      <c r="AU2" s="134">
        <v>2013</v>
      </c>
      <c r="AV2" s="134">
        <v>2014</v>
      </c>
      <c r="AW2" s="134">
        <v>2015</v>
      </c>
      <c r="AX2" s="134">
        <v>2016</v>
      </c>
      <c r="AY2" s="134" t="s">
        <v>207</v>
      </c>
      <c r="AZ2" s="134" t="s">
        <v>208</v>
      </c>
      <c r="BA2" s="134" t="s">
        <v>209</v>
      </c>
      <c r="BB2" s="134" t="s">
        <v>210</v>
      </c>
      <c r="BC2" s="147" t="s">
        <v>531</v>
      </c>
      <c r="BD2" s="140" t="s">
        <v>530</v>
      </c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4"/>
      <c r="BR2" s="114"/>
      <c r="BS2" s="114"/>
      <c r="BT2" s="114"/>
      <c r="BU2" s="114"/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  <c r="IV2" s="114"/>
    </row>
    <row r="3" spans="1:256" s="98" customFormat="1" ht="17.25" hidden="1" customHeight="1" x14ac:dyDescent="0.25">
      <c r="A3" s="108">
        <f>VLOOKUP(B3,[2]Hoja2!$B$47:$C$66,2,0)</f>
        <v>12</v>
      </c>
      <c r="B3" s="109" t="s">
        <v>49</v>
      </c>
      <c r="C3" s="108">
        <f>VLOOKUP(D3,[2]Hoja2!$B$8:$C$10,2,0)</f>
        <v>1</v>
      </c>
      <c r="D3" s="109" t="s">
        <v>6</v>
      </c>
      <c r="E3" s="108">
        <f>VLOOKUP(F3,[2]Hoja2!$B$12:$C$40,2,0)</f>
        <v>1</v>
      </c>
      <c r="F3" s="110" t="s">
        <v>9</v>
      </c>
      <c r="G3" s="108">
        <v>638</v>
      </c>
      <c r="H3" s="110" t="s">
        <v>211</v>
      </c>
      <c r="I3" s="108">
        <f>VLOOKUP(J3,[2]Desplegables!$D$74:$G$151,2,0)</f>
        <v>2</v>
      </c>
      <c r="J3" s="109" t="s">
        <v>67</v>
      </c>
      <c r="K3" s="108">
        <v>1020</v>
      </c>
      <c r="L3" s="109" t="s">
        <v>212</v>
      </c>
      <c r="M3" s="108">
        <v>1</v>
      </c>
      <c r="N3" s="107" t="s">
        <v>213</v>
      </c>
      <c r="O3" s="106">
        <v>4</v>
      </c>
      <c r="P3" s="110" t="s">
        <v>214</v>
      </c>
      <c r="Q3" s="110" t="s">
        <v>215</v>
      </c>
      <c r="R3" s="107" t="str">
        <f>VLOOKUP(J3,[2]Desplegables!$D$74:$G$151,4,0)</f>
        <v>10. SDIS</v>
      </c>
      <c r="S3" s="107" t="str">
        <f>VLOOKUP(J3,[2]Desplegables!$D$74:$G$151,3,0)</f>
        <v>Adecuación , habilitación y dotación de jardines</v>
      </c>
      <c r="T3" s="106" t="s">
        <v>216</v>
      </c>
      <c r="U3" s="105">
        <v>1</v>
      </c>
      <c r="V3" s="105">
        <f t="shared" ref="V3:V35" si="0">AJ3/O3</f>
        <v>1</v>
      </c>
      <c r="W3" s="105">
        <f t="shared" ref="W3:W35" si="1">+U3*V3</f>
        <v>1</v>
      </c>
      <c r="X3" s="105">
        <f t="shared" ref="X3:X35" si="2">+AO3/O3</f>
        <v>1</v>
      </c>
      <c r="Y3" s="105">
        <f t="shared" ref="Y3:Y35" si="3">+X3*U3</f>
        <v>1</v>
      </c>
      <c r="Z3" s="104">
        <v>3</v>
      </c>
      <c r="AA3" s="104">
        <v>1</v>
      </c>
      <c r="AB3" s="104">
        <v>1</v>
      </c>
      <c r="AC3" s="104">
        <v>1</v>
      </c>
      <c r="AD3" s="104">
        <v>1</v>
      </c>
      <c r="AE3" s="104">
        <f t="shared" ref="AE3:AE35" si="4">IF(T3="CONSTANTE",AVERAGE(AA3:AD3),IF(T3="SUMA",SUM(AA3:AD3),))</f>
        <v>4</v>
      </c>
      <c r="AF3" s="104">
        <v>2</v>
      </c>
      <c r="AG3" s="104">
        <v>2</v>
      </c>
      <c r="AH3" s="117">
        <v>0</v>
      </c>
      <c r="AI3" s="104"/>
      <c r="AJ3" s="117">
        <f t="shared" ref="AJ3:AJ35" si="5">IF(T3="CONSTANTE",AVERAGE(AF3:AI3),IF(T3="SUMA",SUM(AF3:AI3),))</f>
        <v>4</v>
      </c>
      <c r="AK3" s="117">
        <v>2</v>
      </c>
      <c r="AL3" s="117">
        <v>2</v>
      </c>
      <c r="AM3" s="117">
        <v>0</v>
      </c>
      <c r="AN3" s="117"/>
      <c r="AO3" s="117">
        <f t="shared" ref="AO3:AO35" si="6">IF(T3="CONSTANTE",AVERAGE(AK3:AN3),IF(T3="SUMA",SUM(AK3:AN3),))</f>
        <v>4</v>
      </c>
      <c r="AP3" s="149">
        <v>159143197</v>
      </c>
      <c r="AQ3" s="149">
        <f>117237777+62117924</f>
        <v>179355701</v>
      </c>
      <c r="AR3" s="150">
        <v>0</v>
      </c>
      <c r="AS3" s="150">
        <v>0</v>
      </c>
      <c r="AT3" s="150">
        <f t="shared" ref="AT3:AT35" si="7">SUM(AP3:AS3)</f>
        <v>338498898</v>
      </c>
      <c r="AU3" s="150">
        <v>0</v>
      </c>
      <c r="AV3" s="150"/>
      <c r="AW3" s="150">
        <v>0</v>
      </c>
      <c r="AX3" s="103">
        <v>0</v>
      </c>
      <c r="AY3" s="102">
        <f t="shared" ref="AY3:AY35" si="8">SUM(AU3:AX3)</f>
        <v>0</v>
      </c>
      <c r="AZ3" s="101"/>
      <c r="BA3" s="101"/>
      <c r="BB3" s="100" t="s">
        <v>217</v>
      </c>
      <c r="BC3" s="148"/>
      <c r="BD3" s="143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s="98" customFormat="1" ht="17.25" customHeight="1" x14ac:dyDescent="0.25">
      <c r="A4" s="108">
        <f>VLOOKUP(B4,[2]Hoja2!$B$47:$C$66,2,0)</f>
        <v>12</v>
      </c>
      <c r="B4" s="109" t="s">
        <v>49</v>
      </c>
      <c r="C4" s="108">
        <f>VLOOKUP(D4,[2]Hoja2!$B$8:$C$10,2,0)</f>
        <v>1</v>
      </c>
      <c r="D4" s="109" t="s">
        <v>6</v>
      </c>
      <c r="E4" s="108">
        <f>VLOOKUP(F4,[2]Hoja2!$B$12:$C$40,2,0)</f>
        <v>1</v>
      </c>
      <c r="F4" s="110" t="s">
        <v>9</v>
      </c>
      <c r="G4" s="108">
        <v>639</v>
      </c>
      <c r="H4" s="110" t="s">
        <v>218</v>
      </c>
      <c r="I4" s="108" t="s">
        <v>361</v>
      </c>
      <c r="J4" s="109" t="s">
        <v>219</v>
      </c>
      <c r="K4" s="108">
        <v>1020</v>
      </c>
      <c r="L4" s="109" t="s">
        <v>212</v>
      </c>
      <c r="M4" s="108">
        <v>2</v>
      </c>
      <c r="N4" s="107" t="s">
        <v>220</v>
      </c>
      <c r="O4" s="106">
        <v>4</v>
      </c>
      <c r="P4" s="110" t="s">
        <v>221</v>
      </c>
      <c r="Q4" s="110" t="s">
        <v>222</v>
      </c>
      <c r="R4" s="107" t="s">
        <v>370</v>
      </c>
      <c r="S4" s="107" t="s">
        <v>361</v>
      </c>
      <c r="T4" s="106" t="s">
        <v>216</v>
      </c>
      <c r="U4" s="105">
        <v>1</v>
      </c>
      <c r="V4" s="105">
        <f t="shared" si="0"/>
        <v>1.75</v>
      </c>
      <c r="W4" s="105">
        <f t="shared" si="1"/>
        <v>1.75</v>
      </c>
      <c r="X4" s="105">
        <f t="shared" si="2"/>
        <v>1</v>
      </c>
      <c r="Y4" s="105">
        <f t="shared" si="3"/>
        <v>1</v>
      </c>
      <c r="Z4" s="104"/>
      <c r="AA4" s="104">
        <v>1</v>
      </c>
      <c r="AB4" s="104">
        <v>1</v>
      </c>
      <c r="AC4" s="104">
        <v>1</v>
      </c>
      <c r="AD4" s="104">
        <v>1</v>
      </c>
      <c r="AE4" s="104">
        <f t="shared" si="4"/>
        <v>4</v>
      </c>
      <c r="AF4" s="104">
        <v>3</v>
      </c>
      <c r="AG4" s="104">
        <v>0</v>
      </c>
      <c r="AH4" s="117">
        <v>4</v>
      </c>
      <c r="AI4" s="104"/>
      <c r="AJ4" s="117">
        <f t="shared" si="5"/>
        <v>7</v>
      </c>
      <c r="AK4" s="117">
        <v>3</v>
      </c>
      <c r="AL4" s="117">
        <v>0</v>
      </c>
      <c r="AM4" s="117">
        <v>1</v>
      </c>
      <c r="AN4" s="117"/>
      <c r="AO4" s="117">
        <f t="shared" si="6"/>
        <v>4</v>
      </c>
      <c r="AP4" s="149">
        <v>93410394</v>
      </c>
      <c r="AQ4" s="149"/>
      <c r="AR4" s="150">
        <v>99600000</v>
      </c>
      <c r="AS4" s="150">
        <v>0</v>
      </c>
      <c r="AT4" s="150">
        <f t="shared" si="7"/>
        <v>193010394</v>
      </c>
      <c r="AU4" s="150">
        <v>0</v>
      </c>
      <c r="AV4" s="150"/>
      <c r="AW4" s="150">
        <v>99600000</v>
      </c>
      <c r="AX4" s="103">
        <v>0</v>
      </c>
      <c r="AY4" s="102">
        <f t="shared" si="8"/>
        <v>99600000</v>
      </c>
      <c r="AZ4" s="101"/>
      <c r="BA4" s="101"/>
      <c r="BB4" s="100" t="s">
        <v>217</v>
      </c>
      <c r="BC4" s="148"/>
      <c r="BD4" s="144" t="s">
        <v>513</v>
      </c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256" s="98" customFormat="1" ht="17.25" customHeight="1" x14ac:dyDescent="0.25">
      <c r="A5" s="108">
        <f>VLOOKUP(B5,[2]Hoja2!$B$47:$C$66,2,0)</f>
        <v>12</v>
      </c>
      <c r="B5" s="109" t="s">
        <v>49</v>
      </c>
      <c r="C5" s="108">
        <f>VLOOKUP(D5,[2]Hoja2!$B$8:$C$10,2,0)</f>
        <v>1</v>
      </c>
      <c r="D5" s="109" t="s">
        <v>6</v>
      </c>
      <c r="E5" s="108">
        <f>VLOOKUP(F5,[2]Hoja2!$B$12:$C$40,2,0)</f>
        <v>2</v>
      </c>
      <c r="F5" s="110" t="s">
        <v>10</v>
      </c>
      <c r="G5" s="108">
        <v>640</v>
      </c>
      <c r="H5" s="110" t="s">
        <v>223</v>
      </c>
      <c r="I5" s="108">
        <f>VLOOKUP(J5,[2]Desplegables!$D$74:$G$151,2,0)</f>
        <v>5</v>
      </c>
      <c r="J5" s="109" t="s">
        <v>76</v>
      </c>
      <c r="K5" s="108">
        <v>1016</v>
      </c>
      <c r="L5" s="109" t="s">
        <v>224</v>
      </c>
      <c r="M5" s="108">
        <v>1</v>
      </c>
      <c r="N5" s="107" t="s">
        <v>225</v>
      </c>
      <c r="O5" s="106">
        <v>400</v>
      </c>
      <c r="P5" s="110" t="s">
        <v>226</v>
      </c>
      <c r="Q5" s="110" t="s">
        <v>227</v>
      </c>
      <c r="R5" s="107" t="str">
        <f>VLOOKUP(J5,[2]Desplegables!$D$74:$G$151,4,0)</f>
        <v>9. SALUD</v>
      </c>
      <c r="S5" s="107" t="str">
        <f>VLOOKUP(J5,[2]Desplegables!$D$74:$G$151,3,0)</f>
        <v>Promoción, prevención e intervención en salud</v>
      </c>
      <c r="T5" s="106" t="s">
        <v>216</v>
      </c>
      <c r="U5" s="105">
        <v>0.45</v>
      </c>
      <c r="V5" s="105">
        <f t="shared" si="0"/>
        <v>0.55000000000000004</v>
      </c>
      <c r="W5" s="105">
        <f t="shared" si="1"/>
        <v>0.24750000000000003</v>
      </c>
      <c r="X5" s="105">
        <f t="shared" si="2"/>
        <v>0.625</v>
      </c>
      <c r="Y5" s="105">
        <f t="shared" si="3"/>
        <v>0.28125</v>
      </c>
      <c r="Z5" s="104">
        <v>244</v>
      </c>
      <c r="AA5" s="104">
        <v>100</v>
      </c>
      <c r="AB5" s="104">
        <v>100</v>
      </c>
      <c r="AC5" s="104">
        <v>100</v>
      </c>
      <c r="AD5" s="104">
        <v>100</v>
      </c>
      <c r="AE5" s="104">
        <f t="shared" si="4"/>
        <v>400</v>
      </c>
      <c r="AF5" s="104">
        <v>100</v>
      </c>
      <c r="AG5" s="104">
        <v>70</v>
      </c>
      <c r="AH5" s="117">
        <v>50</v>
      </c>
      <c r="AI5" s="104"/>
      <c r="AJ5" s="117">
        <f t="shared" si="5"/>
        <v>220</v>
      </c>
      <c r="AK5" s="117">
        <v>100</v>
      </c>
      <c r="AL5" s="117">
        <v>100</v>
      </c>
      <c r="AM5" s="117">
        <v>50</v>
      </c>
      <c r="AN5" s="117"/>
      <c r="AO5" s="117">
        <f t="shared" si="6"/>
        <v>250</v>
      </c>
      <c r="AP5" s="149">
        <v>119051772</v>
      </c>
      <c r="AQ5" s="149">
        <v>97043294</v>
      </c>
      <c r="AR5" s="150">
        <v>100000000</v>
      </c>
      <c r="AS5" s="150">
        <v>0</v>
      </c>
      <c r="AT5" s="150">
        <f t="shared" si="7"/>
        <v>316095066</v>
      </c>
      <c r="AU5" s="150">
        <v>0</v>
      </c>
      <c r="AV5" s="150"/>
      <c r="AW5" s="150">
        <f>94000000/2</f>
        <v>47000000</v>
      </c>
      <c r="AX5" s="103">
        <v>0</v>
      </c>
      <c r="AY5" s="102">
        <f t="shared" si="8"/>
        <v>47000000</v>
      </c>
      <c r="AZ5" s="101"/>
      <c r="BA5" s="101"/>
      <c r="BB5" s="100" t="s">
        <v>228</v>
      </c>
      <c r="BC5" s="156"/>
      <c r="BD5" s="145" t="s">
        <v>527</v>
      </c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99"/>
      <c r="IT5" s="99"/>
      <c r="IU5" s="99"/>
      <c r="IV5" s="99"/>
    </row>
    <row r="6" spans="1:256" s="98" customFormat="1" ht="17.25" customHeight="1" x14ac:dyDescent="0.25">
      <c r="A6" s="108">
        <f>VLOOKUP(B6,[2]Hoja2!$B$47:$C$66,2,0)</f>
        <v>12</v>
      </c>
      <c r="B6" s="109" t="s">
        <v>49</v>
      </c>
      <c r="C6" s="108">
        <f>VLOOKUP(D6,[2]Hoja2!$B$8:$C$10,2,0)</f>
        <v>1</v>
      </c>
      <c r="D6" s="109" t="s">
        <v>6</v>
      </c>
      <c r="E6" s="108">
        <f>VLOOKUP(F6,[2]Hoja2!$B$12:$C$40,2,0)</f>
        <v>2</v>
      </c>
      <c r="F6" s="110" t="s">
        <v>10</v>
      </c>
      <c r="G6" s="108">
        <v>640</v>
      </c>
      <c r="H6" s="110" t="s">
        <v>223</v>
      </c>
      <c r="I6" s="108">
        <f>VLOOKUP(J6,[2]Desplegables!$D$74:$G$151,2,0)</f>
        <v>4</v>
      </c>
      <c r="J6" s="109" t="s">
        <v>72</v>
      </c>
      <c r="K6" s="108">
        <v>1016</v>
      </c>
      <c r="L6" s="109" t="s">
        <v>224</v>
      </c>
      <c r="M6" s="108">
        <v>2</v>
      </c>
      <c r="N6" s="107" t="s">
        <v>229</v>
      </c>
      <c r="O6" s="106">
        <v>4400</v>
      </c>
      <c r="P6" s="110" t="s">
        <v>230</v>
      </c>
      <c r="Q6" s="110" t="s">
        <v>231</v>
      </c>
      <c r="R6" s="107" t="str">
        <f>VLOOKUP(J6,[2]Desplegables!$D$74:$G$151,4,0)</f>
        <v>9. SALUD</v>
      </c>
      <c r="S6" s="107" t="str">
        <f>VLOOKUP(J6,[2]Desplegables!$D$74:$G$151,3,0)</f>
        <v>Promoción, prevención e intervención en salud</v>
      </c>
      <c r="T6" s="106" t="s">
        <v>216</v>
      </c>
      <c r="U6" s="105">
        <v>0.55000000000000004</v>
      </c>
      <c r="V6" s="105">
        <f t="shared" si="0"/>
        <v>2.7045454545454546</v>
      </c>
      <c r="W6" s="105">
        <f t="shared" si="1"/>
        <v>1.4875</v>
      </c>
      <c r="X6" s="105">
        <f t="shared" si="2"/>
        <v>0.31522727272727274</v>
      </c>
      <c r="Y6" s="105">
        <f t="shared" si="3"/>
        <v>0.17337500000000003</v>
      </c>
      <c r="Z6" s="104">
        <v>5996</v>
      </c>
      <c r="AA6" s="104">
        <v>1100</v>
      </c>
      <c r="AB6" s="104">
        <v>1100</v>
      </c>
      <c r="AC6" s="104">
        <v>1100</v>
      </c>
      <c r="AD6" s="104">
        <v>1100</v>
      </c>
      <c r="AE6" s="104">
        <f t="shared" si="4"/>
        <v>4400</v>
      </c>
      <c r="AF6" s="104">
        <v>1200</v>
      </c>
      <c r="AG6" s="104">
        <v>0</v>
      </c>
      <c r="AH6" s="117">
        <v>200</v>
      </c>
      <c r="AI6" s="117">
        <v>10500</v>
      </c>
      <c r="AJ6" s="117">
        <f t="shared" si="5"/>
        <v>11900</v>
      </c>
      <c r="AK6" s="117">
        <v>1250</v>
      </c>
      <c r="AL6" s="117">
        <v>0</v>
      </c>
      <c r="AM6" s="117">
        <v>137</v>
      </c>
      <c r="AN6" s="117"/>
      <c r="AO6" s="117">
        <f t="shared" si="6"/>
        <v>1387</v>
      </c>
      <c r="AP6" s="149">
        <v>274091000</v>
      </c>
      <c r="AQ6" s="149"/>
      <c r="AR6" s="150">
        <v>100000000</v>
      </c>
      <c r="AS6" s="150">
        <v>183684821</v>
      </c>
      <c r="AT6" s="150">
        <f t="shared" si="7"/>
        <v>557775821</v>
      </c>
      <c r="AU6" s="150">
        <v>79800000</v>
      </c>
      <c r="AV6" s="150"/>
      <c r="AW6" s="150">
        <f>94000000/2</f>
        <v>47000000</v>
      </c>
      <c r="AX6" s="103">
        <v>0</v>
      </c>
      <c r="AY6" s="102">
        <f t="shared" si="8"/>
        <v>126800000</v>
      </c>
      <c r="AZ6" s="101"/>
      <c r="BA6" s="101"/>
      <c r="BB6" s="100" t="s">
        <v>228</v>
      </c>
      <c r="BC6" s="148" t="s">
        <v>538</v>
      </c>
      <c r="BD6" s="144" t="s">
        <v>515</v>
      </c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  <c r="IR6" s="99"/>
      <c r="IS6" s="99"/>
      <c r="IT6" s="99"/>
      <c r="IU6" s="99"/>
      <c r="IV6" s="99"/>
    </row>
    <row r="7" spans="1:256" s="98" customFormat="1" ht="17.25" customHeight="1" x14ac:dyDescent="0.25">
      <c r="A7" s="108">
        <f>VLOOKUP(B7,[2]Hoja2!$B$47:$C$66,2,0)</f>
        <v>12</v>
      </c>
      <c r="B7" s="109" t="s">
        <v>49</v>
      </c>
      <c r="C7" s="108">
        <f>VLOOKUP(D7,[2]Hoja2!$B$8:$C$10,2,0)</f>
        <v>1</v>
      </c>
      <c r="D7" s="109" t="s">
        <v>6</v>
      </c>
      <c r="E7" s="108">
        <f>VLOOKUP(F7,[2]Hoja2!$B$12:$C$40,2,0)</f>
        <v>3</v>
      </c>
      <c r="F7" s="110" t="s">
        <v>11</v>
      </c>
      <c r="G7" s="108">
        <v>641</v>
      </c>
      <c r="H7" s="110" t="s">
        <v>232</v>
      </c>
      <c r="I7" s="108">
        <f>VLOOKUP(J7,[2]Desplegables!$D$74:$G$151,2,0)</f>
        <v>7</v>
      </c>
      <c r="J7" s="109" t="s">
        <v>78</v>
      </c>
      <c r="K7" s="108">
        <v>1061</v>
      </c>
      <c r="L7" s="109" t="s">
        <v>233</v>
      </c>
      <c r="M7" s="108">
        <v>1</v>
      </c>
      <c r="N7" s="107" t="s">
        <v>234</v>
      </c>
      <c r="O7" s="106">
        <v>10</v>
      </c>
      <c r="P7" s="110" t="s">
        <v>235</v>
      </c>
      <c r="Q7" s="110" t="s">
        <v>236</v>
      </c>
      <c r="R7" s="107" t="str">
        <f>VLOOKUP(J7,[2]Desplegables!$D$74:$G$151,4,0)</f>
        <v>4. EDUCACIÓN</v>
      </c>
      <c r="S7" s="107" t="str">
        <f>VLOOKUP(J7,[2]Desplegables!$D$74:$G$151,3,0)</f>
        <v>Infraestructura y dotación escolar</v>
      </c>
      <c r="T7" s="106" t="s">
        <v>216</v>
      </c>
      <c r="U7" s="105">
        <v>1</v>
      </c>
      <c r="V7" s="105">
        <f t="shared" si="0"/>
        <v>1</v>
      </c>
      <c r="W7" s="105">
        <f t="shared" si="1"/>
        <v>1</v>
      </c>
      <c r="X7" s="105">
        <f t="shared" si="2"/>
        <v>1</v>
      </c>
      <c r="Y7" s="105">
        <f t="shared" si="3"/>
        <v>1</v>
      </c>
      <c r="Z7" s="104">
        <v>10</v>
      </c>
      <c r="AA7" s="104">
        <v>10</v>
      </c>
      <c r="AB7" s="104">
        <v>0</v>
      </c>
      <c r="AC7" s="104">
        <v>0</v>
      </c>
      <c r="AD7" s="104">
        <v>0</v>
      </c>
      <c r="AE7" s="104">
        <f t="shared" si="4"/>
        <v>10</v>
      </c>
      <c r="AF7" s="104">
        <v>10</v>
      </c>
      <c r="AG7" s="104">
        <v>0</v>
      </c>
      <c r="AH7" s="117">
        <v>0</v>
      </c>
      <c r="AI7" s="104"/>
      <c r="AJ7" s="117">
        <f t="shared" si="5"/>
        <v>10</v>
      </c>
      <c r="AK7" s="117">
        <v>10</v>
      </c>
      <c r="AL7" s="117">
        <v>0</v>
      </c>
      <c r="AM7" s="117">
        <v>0</v>
      </c>
      <c r="AN7" s="117"/>
      <c r="AO7" s="117">
        <f t="shared" si="6"/>
        <v>10</v>
      </c>
      <c r="AP7" s="149">
        <v>152119320</v>
      </c>
      <c r="AQ7" s="149"/>
      <c r="AR7" s="150">
        <v>0</v>
      </c>
      <c r="AS7" s="150">
        <v>0</v>
      </c>
      <c r="AT7" s="150">
        <f t="shared" si="7"/>
        <v>152119320</v>
      </c>
      <c r="AU7" s="150">
        <v>0</v>
      </c>
      <c r="AV7" s="150"/>
      <c r="AW7" s="150">
        <v>0</v>
      </c>
      <c r="AX7" s="103">
        <v>0</v>
      </c>
      <c r="AY7" s="102">
        <f t="shared" si="8"/>
        <v>0</v>
      </c>
      <c r="AZ7" s="101"/>
      <c r="BA7" s="101"/>
      <c r="BB7" s="100" t="s">
        <v>228</v>
      </c>
      <c r="BC7" s="148"/>
      <c r="BD7" s="143" t="s">
        <v>237</v>
      </c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  <c r="IR7" s="99"/>
      <c r="IS7" s="99"/>
      <c r="IT7" s="99"/>
      <c r="IU7" s="99"/>
      <c r="IV7" s="99"/>
    </row>
    <row r="8" spans="1:256" s="98" customFormat="1" ht="17.25" customHeight="1" x14ac:dyDescent="0.25">
      <c r="A8" s="108">
        <f>VLOOKUP(B8,[2]Hoja2!$B$47:$C$66,2,0)</f>
        <v>12</v>
      </c>
      <c r="B8" s="109" t="s">
        <v>49</v>
      </c>
      <c r="C8" s="108">
        <f>VLOOKUP(D8,[2]Hoja2!$B$8:$C$10,2,0)</f>
        <v>1</v>
      </c>
      <c r="D8" s="109" t="s">
        <v>6</v>
      </c>
      <c r="E8" s="108">
        <f>VLOOKUP(F8,[2]Hoja2!$B$12:$C$40,2,0)</f>
        <v>3</v>
      </c>
      <c r="F8" s="110" t="s">
        <v>11</v>
      </c>
      <c r="G8" s="108">
        <v>642</v>
      </c>
      <c r="H8" s="110" t="s">
        <v>238</v>
      </c>
      <c r="I8" s="108">
        <f>VLOOKUP(J8,[2]Desplegables!$D$74:$G$151,2,0)</f>
        <v>18</v>
      </c>
      <c r="J8" s="109" t="s">
        <v>93</v>
      </c>
      <c r="K8" s="108">
        <v>1061</v>
      </c>
      <c r="L8" s="109" t="s">
        <v>233</v>
      </c>
      <c r="M8" s="108">
        <v>2</v>
      </c>
      <c r="N8" s="107" t="s">
        <v>239</v>
      </c>
      <c r="O8" s="106">
        <v>20</v>
      </c>
      <c r="P8" s="110" t="s">
        <v>240</v>
      </c>
      <c r="Q8" s="110" t="s">
        <v>241</v>
      </c>
      <c r="R8" s="107" t="str">
        <f>VLOOKUP(J8,[2]Desplegables!$D$74:$G$151,4,0)</f>
        <v>10. SDIS</v>
      </c>
      <c r="S8" s="107" t="str">
        <f>VLOOKUP(J8,[2]Desplegables!$D$74:$G$151,3,0)</f>
        <v>Protección  integral a personas y familias en situación de vulneración</v>
      </c>
      <c r="T8" s="106" t="s">
        <v>216</v>
      </c>
      <c r="U8" s="105">
        <v>1</v>
      </c>
      <c r="V8" s="112">
        <f t="shared" si="0"/>
        <v>1.1000000000000001</v>
      </c>
      <c r="W8" s="112">
        <f t="shared" si="1"/>
        <v>1.1000000000000001</v>
      </c>
      <c r="X8" s="105">
        <f t="shared" si="2"/>
        <v>1.1000000000000001</v>
      </c>
      <c r="Y8" s="105">
        <f t="shared" si="3"/>
        <v>1.1000000000000001</v>
      </c>
      <c r="Z8" s="104">
        <v>0</v>
      </c>
      <c r="AA8" s="104">
        <v>10</v>
      </c>
      <c r="AB8" s="104">
        <v>5</v>
      </c>
      <c r="AC8" s="104">
        <v>5</v>
      </c>
      <c r="AD8" s="104">
        <v>0</v>
      </c>
      <c r="AE8" s="104">
        <f t="shared" si="4"/>
        <v>20</v>
      </c>
      <c r="AF8" s="104">
        <v>17</v>
      </c>
      <c r="AG8" s="117">
        <v>5</v>
      </c>
      <c r="AH8" s="117">
        <v>0</v>
      </c>
      <c r="AI8" s="104"/>
      <c r="AJ8" s="117">
        <f t="shared" si="5"/>
        <v>22</v>
      </c>
      <c r="AK8" s="117">
        <v>17</v>
      </c>
      <c r="AL8" s="117">
        <v>5</v>
      </c>
      <c r="AM8" s="117">
        <v>0</v>
      </c>
      <c r="AN8" s="117"/>
      <c r="AO8" s="117">
        <f t="shared" si="6"/>
        <v>22</v>
      </c>
      <c r="AP8" s="149">
        <v>45091917</v>
      </c>
      <c r="AQ8" s="149">
        <v>72000000</v>
      </c>
      <c r="AR8" s="150">
        <v>0</v>
      </c>
      <c r="AS8" s="150">
        <v>0</v>
      </c>
      <c r="AT8" s="150">
        <f t="shared" si="7"/>
        <v>117091917</v>
      </c>
      <c r="AU8" s="150">
        <v>0</v>
      </c>
      <c r="AV8" s="150"/>
      <c r="AW8" s="150">
        <v>0</v>
      </c>
      <c r="AX8" s="103">
        <v>0</v>
      </c>
      <c r="AY8" s="102">
        <f t="shared" si="8"/>
        <v>0</v>
      </c>
      <c r="AZ8" s="101"/>
      <c r="BA8" s="101"/>
      <c r="BB8" s="100" t="s">
        <v>228</v>
      </c>
      <c r="BC8" s="148"/>
      <c r="BD8" s="143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  <c r="IR8" s="99"/>
      <c r="IS8" s="99"/>
      <c r="IT8" s="99"/>
      <c r="IU8" s="99"/>
      <c r="IV8" s="99"/>
    </row>
    <row r="9" spans="1:256" s="98" customFormat="1" ht="17.25" customHeight="1" x14ac:dyDescent="0.25">
      <c r="A9" s="108">
        <f>VLOOKUP(B9,[2]Hoja2!$B$47:$C$66,2,0)</f>
        <v>12</v>
      </c>
      <c r="B9" s="109" t="s">
        <v>49</v>
      </c>
      <c r="C9" s="108">
        <f>VLOOKUP(D9,[2]Hoja2!$B$8:$C$10,2,0)</f>
        <v>1</v>
      </c>
      <c r="D9" s="109" t="s">
        <v>6</v>
      </c>
      <c r="E9" s="108">
        <f>VLOOKUP(F9,[2]Hoja2!$B$12:$C$40,2,0)</f>
        <v>5</v>
      </c>
      <c r="F9" s="110" t="s">
        <v>13</v>
      </c>
      <c r="G9" s="108">
        <v>643</v>
      </c>
      <c r="H9" s="110" t="s">
        <v>242</v>
      </c>
      <c r="I9" s="108">
        <f>VLOOKUP(J9,[2]Desplegables!$D$74:$G$151,2,0)</f>
        <v>16</v>
      </c>
      <c r="J9" s="109" t="s">
        <v>90</v>
      </c>
      <c r="K9" s="108">
        <v>1063</v>
      </c>
      <c r="L9" s="109" t="s">
        <v>243</v>
      </c>
      <c r="M9" s="108">
        <v>7</v>
      </c>
      <c r="N9" s="107" t="s">
        <v>244</v>
      </c>
      <c r="O9" s="106">
        <v>4000</v>
      </c>
      <c r="P9" s="110" t="s">
        <v>230</v>
      </c>
      <c r="Q9" s="110" t="s">
        <v>245</v>
      </c>
      <c r="R9" s="107" t="str">
        <f>VLOOKUP(J9,[2]Desplegables!$D$74:$G$151,4,0)</f>
        <v>10. SDIS</v>
      </c>
      <c r="S9" s="107" t="str">
        <f>VLOOKUP(J9,[2]Desplegables!$D$74:$G$151,3,0)</f>
        <v>Protección  integral a personas y familias en situación de vulneración</v>
      </c>
      <c r="T9" s="106" t="s">
        <v>216</v>
      </c>
      <c r="U9" s="105">
        <v>1</v>
      </c>
      <c r="V9" s="105">
        <f t="shared" si="0"/>
        <v>1.04</v>
      </c>
      <c r="W9" s="105">
        <f t="shared" si="1"/>
        <v>1.04</v>
      </c>
      <c r="X9" s="105">
        <f t="shared" si="2"/>
        <v>0.79</v>
      </c>
      <c r="Y9" s="105">
        <f t="shared" si="3"/>
        <v>0.79</v>
      </c>
      <c r="Z9" s="104">
        <v>4695</v>
      </c>
      <c r="AA9" s="104">
        <v>1000</v>
      </c>
      <c r="AB9" s="104">
        <v>1000</v>
      </c>
      <c r="AC9" s="104">
        <v>1000</v>
      </c>
      <c r="AD9" s="104">
        <v>1000</v>
      </c>
      <c r="AE9" s="104">
        <f t="shared" si="4"/>
        <v>4000</v>
      </c>
      <c r="AF9" s="104">
        <v>1360</v>
      </c>
      <c r="AG9" s="117">
        <v>1200</v>
      </c>
      <c r="AH9" s="117">
        <v>600</v>
      </c>
      <c r="AI9" s="117">
        <v>1000</v>
      </c>
      <c r="AJ9" s="117">
        <f t="shared" si="5"/>
        <v>4160</v>
      </c>
      <c r="AK9" s="117">
        <v>1360</v>
      </c>
      <c r="AL9" s="117">
        <v>1200</v>
      </c>
      <c r="AM9" s="117">
        <v>600</v>
      </c>
      <c r="AN9" s="117"/>
      <c r="AO9" s="117">
        <f t="shared" si="6"/>
        <v>3160</v>
      </c>
      <c r="AP9" s="149">
        <v>145931500</v>
      </c>
      <c r="AQ9" s="149">
        <v>144580000</v>
      </c>
      <c r="AR9" s="150">
        <v>65000000</v>
      </c>
      <c r="AS9" s="150">
        <v>139257000</v>
      </c>
      <c r="AT9" s="150">
        <f t="shared" si="7"/>
        <v>494768500</v>
      </c>
      <c r="AU9" s="150">
        <v>0</v>
      </c>
      <c r="AV9" s="150"/>
      <c r="AW9" s="150">
        <v>65000000</v>
      </c>
      <c r="AX9" s="103">
        <v>0</v>
      </c>
      <c r="AY9" s="102">
        <f t="shared" si="8"/>
        <v>65000000</v>
      </c>
      <c r="AZ9" s="101"/>
      <c r="BA9" s="101"/>
      <c r="BB9" s="100" t="s">
        <v>228</v>
      </c>
      <c r="BC9" s="148" t="s">
        <v>540</v>
      </c>
      <c r="BD9" s="143" t="s">
        <v>512</v>
      </c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  <c r="IR9" s="99"/>
      <c r="IS9" s="99"/>
      <c r="IT9" s="99"/>
      <c r="IU9" s="99"/>
      <c r="IV9" s="99"/>
    </row>
    <row r="10" spans="1:256" s="98" customFormat="1" ht="17.25" hidden="1" customHeight="1" x14ac:dyDescent="0.25">
      <c r="A10" s="108">
        <f>VLOOKUP(B10,[2]Hoja2!$B$47:$C$66,2,0)</f>
        <v>12</v>
      </c>
      <c r="B10" s="109" t="s">
        <v>49</v>
      </c>
      <c r="C10" s="108">
        <f>VLOOKUP(D10,[2]Hoja2!$B$8:$C$10,2,0)</f>
        <v>1</v>
      </c>
      <c r="D10" s="109" t="s">
        <v>6</v>
      </c>
      <c r="E10" s="108">
        <f>VLOOKUP(F10,[2]Hoja2!$B$12:$C$40,2,0)</f>
        <v>5</v>
      </c>
      <c r="F10" s="110" t="s">
        <v>13</v>
      </c>
      <c r="G10" s="108">
        <v>644</v>
      </c>
      <c r="H10" s="110" t="s">
        <v>246</v>
      </c>
      <c r="I10" s="108">
        <f>VLOOKUP(J10,[2]Desplegables!$D$74:$G$151,2,0)</f>
        <v>19</v>
      </c>
      <c r="J10" s="109" t="s">
        <v>95</v>
      </c>
      <c r="K10" s="108">
        <v>1063</v>
      </c>
      <c r="L10" s="109" t="s">
        <v>243</v>
      </c>
      <c r="M10" s="108">
        <v>8</v>
      </c>
      <c r="N10" s="107" t="s">
        <v>225</v>
      </c>
      <c r="O10" s="106">
        <v>1000</v>
      </c>
      <c r="P10" s="110" t="s">
        <v>247</v>
      </c>
      <c r="Q10" s="110" t="s">
        <v>248</v>
      </c>
      <c r="R10" s="107" t="str">
        <f>VLOOKUP(J10,[2]Desplegables!$D$74:$G$151,4,0)</f>
        <v>10. SDIS</v>
      </c>
      <c r="S10" s="107" t="str">
        <f>VLOOKUP(J10,[2]Desplegables!$D$74:$G$151,3,0)</f>
        <v>Protección  integral a personas y familias en situación de vulneración</v>
      </c>
      <c r="T10" s="106" t="s">
        <v>216</v>
      </c>
      <c r="U10" s="105">
        <v>1</v>
      </c>
      <c r="V10" s="105">
        <f t="shared" si="0"/>
        <v>1.899</v>
      </c>
      <c r="W10" s="105">
        <f t="shared" si="1"/>
        <v>1.899</v>
      </c>
      <c r="X10" s="105">
        <f t="shared" si="2"/>
        <v>1.899</v>
      </c>
      <c r="Y10" s="105">
        <f t="shared" si="3"/>
        <v>1.899</v>
      </c>
      <c r="Z10" s="104">
        <v>930</v>
      </c>
      <c r="AA10" s="104">
        <v>250</v>
      </c>
      <c r="AB10" s="104">
        <v>250</v>
      </c>
      <c r="AC10" s="104">
        <v>250</v>
      </c>
      <c r="AD10" s="104">
        <v>250</v>
      </c>
      <c r="AE10" s="104">
        <f t="shared" si="4"/>
        <v>1000</v>
      </c>
      <c r="AF10" s="104">
        <v>250</v>
      </c>
      <c r="AG10" s="117">
        <v>350</v>
      </c>
      <c r="AH10" s="117">
        <v>649</v>
      </c>
      <c r="AI10" s="117">
        <v>650</v>
      </c>
      <c r="AJ10" s="117">
        <f t="shared" si="5"/>
        <v>1899</v>
      </c>
      <c r="AK10" s="117">
        <v>250</v>
      </c>
      <c r="AL10" s="117">
        <v>350</v>
      </c>
      <c r="AM10" s="117">
        <v>649</v>
      </c>
      <c r="AN10" s="117">
        <v>650</v>
      </c>
      <c r="AO10" s="117">
        <f t="shared" si="6"/>
        <v>1899</v>
      </c>
      <c r="AP10" s="149">
        <v>441142361</v>
      </c>
      <c r="AQ10" s="149">
        <f>5435016+336000000</f>
        <v>341435016</v>
      </c>
      <c r="AR10" s="150">
        <v>825128161</v>
      </c>
      <c r="AS10" s="150">
        <v>1042766999</v>
      </c>
      <c r="AT10" s="150">
        <f t="shared" si="7"/>
        <v>2650472537</v>
      </c>
      <c r="AU10" s="150">
        <v>289355277</v>
      </c>
      <c r="AV10" s="150">
        <f>254961518+988984+42000000</f>
        <v>297950502</v>
      </c>
      <c r="AW10" s="150">
        <v>696534596</v>
      </c>
      <c r="AX10" s="103">
        <v>923965321</v>
      </c>
      <c r="AY10" s="102">
        <f t="shared" si="8"/>
        <v>2207805696</v>
      </c>
      <c r="AZ10" s="101"/>
      <c r="BA10" s="101"/>
      <c r="BB10" s="100" t="s">
        <v>249</v>
      </c>
      <c r="BC10" s="148" t="s">
        <v>536</v>
      </c>
      <c r="BD10" s="144" t="s">
        <v>514</v>
      </c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  <c r="IV10" s="99"/>
    </row>
    <row r="11" spans="1:256" s="98" customFormat="1" ht="17.25" customHeight="1" x14ac:dyDescent="0.25">
      <c r="A11" s="108">
        <f>VLOOKUP(B11,[2]Hoja2!$B$47:$C$66,2,0)</f>
        <v>12</v>
      </c>
      <c r="B11" s="109" t="s">
        <v>49</v>
      </c>
      <c r="C11" s="108">
        <f>VLOOKUP(D11,[2]Hoja2!$B$8:$C$10,2,0)</f>
        <v>1</v>
      </c>
      <c r="D11" s="109" t="s">
        <v>6</v>
      </c>
      <c r="E11" s="108">
        <f>VLOOKUP(F11,[2]Hoja2!$B$12:$C$40,2,0)</f>
        <v>5</v>
      </c>
      <c r="F11" s="110" t="s">
        <v>13</v>
      </c>
      <c r="G11" s="108">
        <v>645</v>
      </c>
      <c r="H11" s="110" t="s">
        <v>250</v>
      </c>
      <c r="I11" s="108">
        <f>VLOOKUP(J11,[2]Desplegables!$D$74:$G$151,2,0)</f>
        <v>18</v>
      </c>
      <c r="J11" s="109" t="s">
        <v>93</v>
      </c>
      <c r="K11" s="108">
        <v>1063</v>
      </c>
      <c r="L11" s="109" t="s">
        <v>243</v>
      </c>
      <c r="M11" s="108">
        <v>9</v>
      </c>
      <c r="N11" s="107" t="s">
        <v>220</v>
      </c>
      <c r="O11" s="106">
        <v>4</v>
      </c>
      <c r="P11" s="110" t="s">
        <v>251</v>
      </c>
      <c r="Q11" s="110" t="s">
        <v>252</v>
      </c>
      <c r="R11" s="107" t="str">
        <f>VLOOKUP(J11,[2]Desplegables!$D$74:$G$151,4,0)</f>
        <v>10. SDIS</v>
      </c>
      <c r="S11" s="107" t="str">
        <f>VLOOKUP(J11,[2]Desplegables!$D$74:$G$151,3,0)</f>
        <v>Protección  integral a personas y familias en situación de vulneración</v>
      </c>
      <c r="T11" s="106" t="s">
        <v>216</v>
      </c>
      <c r="U11" s="105">
        <v>1</v>
      </c>
      <c r="V11" s="105">
        <f t="shared" si="0"/>
        <v>2.25</v>
      </c>
      <c r="W11" s="105">
        <f t="shared" si="1"/>
        <v>2.25</v>
      </c>
      <c r="X11" s="105">
        <f t="shared" si="2"/>
        <v>2.25</v>
      </c>
      <c r="Y11" s="105">
        <f t="shared" si="3"/>
        <v>2.25</v>
      </c>
      <c r="Z11" s="104">
        <v>3</v>
      </c>
      <c r="AA11" s="104">
        <v>1</v>
      </c>
      <c r="AB11" s="104">
        <v>1</v>
      </c>
      <c r="AC11" s="104">
        <v>1</v>
      </c>
      <c r="AD11" s="104">
        <v>1</v>
      </c>
      <c r="AE11" s="104">
        <f t="shared" si="4"/>
        <v>4</v>
      </c>
      <c r="AF11" s="104">
        <v>2</v>
      </c>
      <c r="AG11" s="104">
        <v>1</v>
      </c>
      <c r="AH11" s="117">
        <v>0</v>
      </c>
      <c r="AI11" s="117">
        <v>6</v>
      </c>
      <c r="AJ11" s="117">
        <f t="shared" si="5"/>
        <v>9</v>
      </c>
      <c r="AK11" s="117">
        <v>2</v>
      </c>
      <c r="AL11" s="117">
        <v>1</v>
      </c>
      <c r="AM11" s="117">
        <v>0</v>
      </c>
      <c r="AN11" s="117">
        <v>6</v>
      </c>
      <c r="AO11" s="117">
        <f t="shared" si="6"/>
        <v>9</v>
      </c>
      <c r="AP11" s="149">
        <v>365697201</v>
      </c>
      <c r="AQ11" s="149">
        <v>191542193</v>
      </c>
      <c r="AR11" s="150">
        <v>0</v>
      </c>
      <c r="AS11" s="150">
        <v>63642000</v>
      </c>
      <c r="AT11" s="150">
        <f t="shared" si="7"/>
        <v>620881394</v>
      </c>
      <c r="AU11" s="150">
        <v>185853230</v>
      </c>
      <c r="AV11" s="150"/>
      <c r="AW11" s="150">
        <v>0</v>
      </c>
      <c r="AX11" s="103">
        <v>0</v>
      </c>
      <c r="AY11" s="102">
        <f t="shared" si="8"/>
        <v>185853230</v>
      </c>
      <c r="AZ11" s="101"/>
      <c r="BA11" s="101"/>
      <c r="BB11" s="100" t="s">
        <v>228</v>
      </c>
      <c r="BC11" s="148" t="s">
        <v>539</v>
      </c>
      <c r="BD11" s="143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1:256" s="98" customFormat="1" ht="17.25" customHeight="1" x14ac:dyDescent="0.25">
      <c r="A12" s="108">
        <f>VLOOKUP(B12,[2]Hoja2!$B$47:$C$66,2,0)</f>
        <v>12</v>
      </c>
      <c r="B12" s="109" t="s">
        <v>49</v>
      </c>
      <c r="C12" s="108">
        <f>VLOOKUP(D12,[2]Hoja2!$B$8:$C$10,2,0)</f>
        <v>1</v>
      </c>
      <c r="D12" s="109" t="s">
        <v>6</v>
      </c>
      <c r="E12" s="108">
        <f>VLOOKUP(F12,[2]Hoja2!$B$12:$C$40,2,0)</f>
        <v>7</v>
      </c>
      <c r="F12" s="110" t="s">
        <v>15</v>
      </c>
      <c r="G12" s="108">
        <v>646</v>
      </c>
      <c r="H12" s="110" t="s">
        <v>253</v>
      </c>
      <c r="I12" s="108" t="s">
        <v>361</v>
      </c>
      <c r="J12" s="109" t="s">
        <v>219</v>
      </c>
      <c r="K12" s="108">
        <v>1065</v>
      </c>
      <c r="L12" s="109" t="s">
        <v>254</v>
      </c>
      <c r="M12" s="108">
        <v>1</v>
      </c>
      <c r="N12" s="107" t="s">
        <v>255</v>
      </c>
      <c r="O12" s="106">
        <v>2</v>
      </c>
      <c r="P12" s="110" t="s">
        <v>256</v>
      </c>
      <c r="Q12" s="110" t="s">
        <v>257</v>
      </c>
      <c r="R12" s="107" t="s">
        <v>379</v>
      </c>
      <c r="S12" s="107" t="s">
        <v>361</v>
      </c>
      <c r="T12" s="106" t="s">
        <v>216</v>
      </c>
      <c r="U12" s="105">
        <v>1</v>
      </c>
      <c r="V12" s="105">
        <f t="shared" si="0"/>
        <v>1</v>
      </c>
      <c r="W12" s="105">
        <f t="shared" si="1"/>
        <v>1</v>
      </c>
      <c r="X12" s="105">
        <f t="shared" si="2"/>
        <v>1</v>
      </c>
      <c r="Y12" s="105">
        <f t="shared" si="3"/>
        <v>1</v>
      </c>
      <c r="Z12" s="104"/>
      <c r="AA12" s="104">
        <v>0</v>
      </c>
      <c r="AB12" s="104">
        <v>0</v>
      </c>
      <c r="AC12" s="104">
        <v>1</v>
      </c>
      <c r="AD12" s="104">
        <v>1</v>
      </c>
      <c r="AE12" s="104">
        <f t="shared" si="4"/>
        <v>2</v>
      </c>
      <c r="AF12" s="104">
        <v>0</v>
      </c>
      <c r="AG12" s="104">
        <v>0</v>
      </c>
      <c r="AH12" s="117">
        <v>1</v>
      </c>
      <c r="AI12" s="117">
        <v>1</v>
      </c>
      <c r="AJ12" s="117">
        <f t="shared" si="5"/>
        <v>2</v>
      </c>
      <c r="AK12" s="117">
        <v>0</v>
      </c>
      <c r="AL12" s="117">
        <v>0</v>
      </c>
      <c r="AM12" s="117">
        <v>1</v>
      </c>
      <c r="AN12" s="117">
        <v>1</v>
      </c>
      <c r="AO12" s="117">
        <f t="shared" si="6"/>
        <v>2</v>
      </c>
      <c r="AP12" s="149">
        <v>0</v>
      </c>
      <c r="AQ12" s="149"/>
      <c r="AR12" s="150">
        <v>46400000</v>
      </c>
      <c r="AS12" s="150">
        <v>104756550</v>
      </c>
      <c r="AT12" s="150">
        <f t="shared" si="7"/>
        <v>151156550</v>
      </c>
      <c r="AU12" s="150">
        <v>0</v>
      </c>
      <c r="AV12" s="150"/>
      <c r="AW12" s="150">
        <v>35313333</v>
      </c>
      <c r="AX12" s="103">
        <v>16266667</v>
      </c>
      <c r="AY12" s="102">
        <f t="shared" si="8"/>
        <v>51580000</v>
      </c>
      <c r="AZ12" s="101"/>
      <c r="BA12" s="101"/>
      <c r="BB12" s="100" t="s">
        <v>228</v>
      </c>
      <c r="BC12" s="148" t="s">
        <v>541</v>
      </c>
      <c r="BD12" s="143" t="s">
        <v>510</v>
      </c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  <c r="IR12" s="99"/>
      <c r="IS12" s="99"/>
      <c r="IT12" s="99"/>
      <c r="IU12" s="99"/>
      <c r="IV12" s="99"/>
    </row>
    <row r="13" spans="1:256" s="98" customFormat="1" ht="17.25" customHeight="1" x14ac:dyDescent="0.25">
      <c r="A13" s="108">
        <f>VLOOKUP(B13,[2]Hoja2!$B$47:$C$66,2,0)</f>
        <v>12</v>
      </c>
      <c r="B13" s="109" t="s">
        <v>49</v>
      </c>
      <c r="C13" s="108">
        <f>VLOOKUP(D13,[2]Hoja2!$B$8:$C$10,2,0)</f>
        <v>1</v>
      </c>
      <c r="D13" s="109" t="s">
        <v>6</v>
      </c>
      <c r="E13" s="108">
        <f>VLOOKUP(F13,[2]Hoja2!$B$12:$C$40,2,0)</f>
        <v>8</v>
      </c>
      <c r="F13" s="110" t="s">
        <v>16</v>
      </c>
      <c r="G13" s="108">
        <v>647</v>
      </c>
      <c r="H13" s="110" t="s">
        <v>258</v>
      </c>
      <c r="I13" s="108">
        <f>VLOOKUP(J13,[2]Desplegables!$D$74:$G$151,2,0)</f>
        <v>25</v>
      </c>
      <c r="J13" s="109" t="s">
        <v>259</v>
      </c>
      <c r="K13" s="108">
        <v>1066</v>
      </c>
      <c r="L13" s="109" t="s">
        <v>260</v>
      </c>
      <c r="M13" s="108">
        <v>1</v>
      </c>
      <c r="N13" s="107" t="s">
        <v>244</v>
      </c>
      <c r="O13" s="106">
        <v>600</v>
      </c>
      <c r="P13" s="110" t="s">
        <v>230</v>
      </c>
      <c r="Q13" s="110" t="s">
        <v>261</v>
      </c>
      <c r="R13" s="107" t="str">
        <f>VLOOKUP(J13,[2]Desplegables!$D$74:$G$151,4,0)</f>
        <v>2. CULTURA Y RECREACIÓN</v>
      </c>
      <c r="S13" s="107" t="str">
        <f>VLOOKUP(J13,[2]Desplegables!$D$74:$G$151,3,0)</f>
        <v>Formación artística y cultural</v>
      </c>
      <c r="T13" s="106" t="s">
        <v>216</v>
      </c>
      <c r="U13" s="105">
        <v>0.27</v>
      </c>
      <c r="V13" s="105">
        <f t="shared" si="0"/>
        <v>1.5</v>
      </c>
      <c r="W13" s="105">
        <f>+U13*V13</f>
        <v>0.40500000000000003</v>
      </c>
      <c r="X13" s="105">
        <f t="shared" si="2"/>
        <v>1.25</v>
      </c>
      <c r="Y13" s="105">
        <f t="shared" si="3"/>
        <v>0.33750000000000002</v>
      </c>
      <c r="Z13" s="104">
        <v>506</v>
      </c>
      <c r="AA13" s="104">
        <v>150</v>
      </c>
      <c r="AB13" s="104">
        <v>150</v>
      </c>
      <c r="AC13" s="104">
        <v>150</v>
      </c>
      <c r="AD13" s="104">
        <v>150</v>
      </c>
      <c r="AE13" s="104">
        <f t="shared" si="4"/>
        <v>600</v>
      </c>
      <c r="AF13" s="104">
        <v>300</v>
      </c>
      <c r="AG13" s="104">
        <v>300</v>
      </c>
      <c r="AH13" s="117">
        <v>150</v>
      </c>
      <c r="AI13" s="104">
        <v>150</v>
      </c>
      <c r="AJ13" s="117">
        <f t="shared" si="5"/>
        <v>900</v>
      </c>
      <c r="AK13" s="117">
        <v>300</v>
      </c>
      <c r="AL13" s="117">
        <v>300</v>
      </c>
      <c r="AM13" s="117">
        <v>150</v>
      </c>
      <c r="AN13" s="117"/>
      <c r="AO13" s="117">
        <f t="shared" si="6"/>
        <v>750</v>
      </c>
      <c r="AP13" s="149">
        <v>1336667</v>
      </c>
      <c r="AQ13" s="149">
        <v>200000000</v>
      </c>
      <c r="AR13" s="150">
        <f>200809750/2</f>
        <v>100404875</v>
      </c>
      <c r="AS13" s="150">
        <v>90000000</v>
      </c>
      <c r="AT13" s="150">
        <f t="shared" si="7"/>
        <v>391741542</v>
      </c>
      <c r="AU13" s="150">
        <v>0</v>
      </c>
      <c r="AV13" s="150"/>
      <c r="AW13" s="150">
        <f>(281133650/2)/2</f>
        <v>70283412.5</v>
      </c>
      <c r="AX13" s="103">
        <v>0</v>
      </c>
      <c r="AY13" s="102">
        <f t="shared" si="8"/>
        <v>70283412.5</v>
      </c>
      <c r="AZ13" s="101"/>
      <c r="BA13" s="101"/>
      <c r="BB13" s="100" t="s">
        <v>262</v>
      </c>
      <c r="BC13" s="160" t="s">
        <v>544</v>
      </c>
      <c r="BD13" s="143" t="s">
        <v>521</v>
      </c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  <c r="IR13" s="99"/>
      <c r="IS13" s="99"/>
      <c r="IT13" s="99"/>
      <c r="IU13" s="99"/>
      <c r="IV13" s="99"/>
    </row>
    <row r="14" spans="1:256" s="98" customFormat="1" ht="17.25" customHeight="1" x14ac:dyDescent="0.25">
      <c r="A14" s="108">
        <f>VLOOKUP(B14,[2]Hoja2!$B$47:$C$66,2,0)</f>
        <v>12</v>
      </c>
      <c r="B14" s="109" t="s">
        <v>49</v>
      </c>
      <c r="C14" s="108">
        <f>VLOOKUP(D14,[2]Hoja2!$B$8:$C$10,2,0)</f>
        <v>1</v>
      </c>
      <c r="D14" s="109" t="s">
        <v>6</v>
      </c>
      <c r="E14" s="108">
        <f>VLOOKUP(F14,[2]Hoja2!$B$12:$C$40,2,0)</f>
        <v>8</v>
      </c>
      <c r="F14" s="110" t="s">
        <v>16</v>
      </c>
      <c r="G14" s="108">
        <v>647</v>
      </c>
      <c r="H14" s="110" t="s">
        <v>258</v>
      </c>
      <c r="I14" s="108">
        <f>VLOOKUP(J14,[2]Desplegables!$D$74:$G$151,2,0)</f>
        <v>24</v>
      </c>
      <c r="J14" s="109" t="s">
        <v>104</v>
      </c>
      <c r="K14" s="108">
        <v>1066</v>
      </c>
      <c r="L14" s="109" t="s">
        <v>260</v>
      </c>
      <c r="M14" s="108">
        <v>2</v>
      </c>
      <c r="N14" s="107" t="s">
        <v>244</v>
      </c>
      <c r="O14" s="106">
        <v>1200</v>
      </c>
      <c r="P14" s="110" t="s">
        <v>230</v>
      </c>
      <c r="Q14" s="110" t="s">
        <v>263</v>
      </c>
      <c r="R14" s="107" t="str">
        <f>VLOOKUP(J14,[2]Desplegables!$D$74:$G$151,4,0)</f>
        <v>2. CULTURA Y RECREACIÓN</v>
      </c>
      <c r="S14" s="107" t="str">
        <f>VLOOKUP(J14,[2]Desplegables!$D$74:$G$151,3,0)</f>
        <v>Espacios artísticos y culturales</v>
      </c>
      <c r="T14" s="106" t="s">
        <v>216</v>
      </c>
      <c r="U14" s="105">
        <v>0.57999999999999996</v>
      </c>
      <c r="V14" s="105">
        <f t="shared" si="0"/>
        <v>1</v>
      </c>
      <c r="W14" s="105">
        <f t="shared" si="1"/>
        <v>0.57999999999999996</v>
      </c>
      <c r="X14" s="105">
        <f t="shared" si="2"/>
        <v>0.75</v>
      </c>
      <c r="Y14" s="105">
        <f t="shared" si="3"/>
        <v>0.43499999999999994</v>
      </c>
      <c r="Z14" s="104">
        <v>604</v>
      </c>
      <c r="AA14" s="104">
        <v>300</v>
      </c>
      <c r="AB14" s="104">
        <v>300</v>
      </c>
      <c r="AC14" s="104">
        <v>300</v>
      </c>
      <c r="AD14" s="104">
        <v>300</v>
      </c>
      <c r="AE14" s="104">
        <f t="shared" si="4"/>
        <v>1200</v>
      </c>
      <c r="AF14" s="104">
        <v>300</v>
      </c>
      <c r="AG14" s="104">
        <v>300</v>
      </c>
      <c r="AH14" s="117">
        <v>300</v>
      </c>
      <c r="AI14" s="104">
        <v>300</v>
      </c>
      <c r="AJ14" s="117">
        <f t="shared" si="5"/>
        <v>1200</v>
      </c>
      <c r="AK14" s="117">
        <v>300</v>
      </c>
      <c r="AL14" s="117">
        <v>300</v>
      </c>
      <c r="AM14" s="117">
        <v>300</v>
      </c>
      <c r="AN14" s="117"/>
      <c r="AO14" s="117">
        <f t="shared" si="6"/>
        <v>900</v>
      </c>
      <c r="AP14" s="149">
        <v>247710116</v>
      </c>
      <c r="AQ14" s="149">
        <f>211424731+93793680</f>
        <v>305218411</v>
      </c>
      <c r="AR14" s="150">
        <v>200809750</v>
      </c>
      <c r="AS14" s="150">
        <v>90000000</v>
      </c>
      <c r="AT14" s="150">
        <f t="shared" si="7"/>
        <v>843738277</v>
      </c>
      <c r="AU14" s="150">
        <v>119975231</v>
      </c>
      <c r="AV14" s="150"/>
      <c r="AW14" s="150">
        <f>281133650/2</f>
        <v>140566825</v>
      </c>
      <c r="AX14" s="103">
        <v>0</v>
      </c>
      <c r="AY14" s="102">
        <f t="shared" si="8"/>
        <v>260542056</v>
      </c>
      <c r="AZ14" s="101"/>
      <c r="BA14" s="101"/>
      <c r="BB14" s="100" t="s">
        <v>262</v>
      </c>
      <c r="BC14" s="160" t="s">
        <v>544</v>
      </c>
      <c r="BD14" s="143" t="s">
        <v>520</v>
      </c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</row>
    <row r="15" spans="1:256" s="98" customFormat="1" ht="17.25" customHeight="1" x14ac:dyDescent="0.25">
      <c r="A15" s="108">
        <f>VLOOKUP(B15,[2]Hoja2!$B$47:$C$66,2,0)</f>
        <v>12</v>
      </c>
      <c r="B15" s="109" t="s">
        <v>49</v>
      </c>
      <c r="C15" s="108">
        <f>VLOOKUP(D15,[2]Hoja2!$B$8:$C$10,2,0)</f>
        <v>1</v>
      </c>
      <c r="D15" s="109" t="s">
        <v>6</v>
      </c>
      <c r="E15" s="108">
        <f>VLOOKUP(F15,[2]Hoja2!$B$12:$C$40,2,0)</f>
        <v>8</v>
      </c>
      <c r="F15" s="110" t="s">
        <v>16</v>
      </c>
      <c r="G15" s="108">
        <v>647</v>
      </c>
      <c r="H15" s="110" t="s">
        <v>258</v>
      </c>
      <c r="I15" s="108">
        <f>VLOOKUP(J15,[2]Desplegables!$D$74:$G$151,2,0)</f>
        <v>24</v>
      </c>
      <c r="J15" s="109" t="s">
        <v>104</v>
      </c>
      <c r="K15" s="108">
        <v>1066</v>
      </c>
      <c r="L15" s="109" t="s">
        <v>260</v>
      </c>
      <c r="M15" s="108">
        <v>3</v>
      </c>
      <c r="N15" s="107" t="s">
        <v>244</v>
      </c>
      <c r="O15" s="106">
        <v>200</v>
      </c>
      <c r="P15" s="110" t="s">
        <v>230</v>
      </c>
      <c r="Q15" s="110" t="s">
        <v>264</v>
      </c>
      <c r="R15" s="107" t="str">
        <f>VLOOKUP(J15,[2]Desplegables!$D$74:$G$151,4,0)</f>
        <v>2. CULTURA Y RECREACIÓN</v>
      </c>
      <c r="S15" s="107" t="str">
        <f>VLOOKUP(J15,[2]Desplegables!$D$74:$G$151,3,0)</f>
        <v>Espacios artísticos y culturales</v>
      </c>
      <c r="T15" s="106" t="s">
        <v>216</v>
      </c>
      <c r="U15" s="105">
        <v>0.15</v>
      </c>
      <c r="V15" s="105">
        <f t="shared" si="0"/>
        <v>1.2</v>
      </c>
      <c r="W15" s="105">
        <f t="shared" si="1"/>
        <v>0.18</v>
      </c>
      <c r="X15" s="105">
        <f t="shared" si="2"/>
        <v>1.8</v>
      </c>
      <c r="Y15" s="105">
        <f t="shared" si="3"/>
        <v>0.27</v>
      </c>
      <c r="Z15" s="104"/>
      <c r="AA15" s="104">
        <v>50</v>
      </c>
      <c r="AB15" s="104">
        <v>50</v>
      </c>
      <c r="AC15" s="104">
        <v>50</v>
      </c>
      <c r="AD15" s="104">
        <v>50</v>
      </c>
      <c r="AE15" s="104">
        <f t="shared" si="4"/>
        <v>200</v>
      </c>
      <c r="AF15" s="104">
        <v>50</v>
      </c>
      <c r="AG15" s="104">
        <v>50</v>
      </c>
      <c r="AH15" s="117">
        <v>90</v>
      </c>
      <c r="AI15" s="104">
        <v>50</v>
      </c>
      <c r="AJ15" s="117">
        <f t="shared" si="5"/>
        <v>240</v>
      </c>
      <c r="AK15" s="117">
        <v>50</v>
      </c>
      <c r="AL15" s="117">
        <v>220</v>
      </c>
      <c r="AM15" s="117">
        <v>90</v>
      </c>
      <c r="AN15" s="117"/>
      <c r="AO15" s="117">
        <f t="shared" si="6"/>
        <v>360</v>
      </c>
      <c r="AP15" s="149">
        <v>230000000</v>
      </c>
      <c r="AQ15" s="149">
        <v>400000000</v>
      </c>
      <c r="AR15" s="150">
        <f>200809750/2</f>
        <v>100404875</v>
      </c>
      <c r="AS15" s="150">
        <v>90000000</v>
      </c>
      <c r="AT15" s="150">
        <f t="shared" si="7"/>
        <v>820404875</v>
      </c>
      <c r="AU15" s="150">
        <v>69000000</v>
      </c>
      <c r="AV15" s="150"/>
      <c r="AW15" s="150">
        <f>(281133650/2)/2</f>
        <v>70283412.5</v>
      </c>
      <c r="AX15" s="103">
        <v>0</v>
      </c>
      <c r="AY15" s="102">
        <f t="shared" si="8"/>
        <v>139283412.5</v>
      </c>
      <c r="AZ15" s="101"/>
      <c r="BA15" s="101"/>
      <c r="BB15" s="100" t="s">
        <v>262</v>
      </c>
      <c r="BC15" s="160" t="s">
        <v>544</v>
      </c>
      <c r="BD15" s="143" t="s">
        <v>521</v>
      </c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</row>
    <row r="16" spans="1:256" s="98" customFormat="1" ht="17.25" customHeight="1" x14ac:dyDescent="0.25">
      <c r="A16" s="108">
        <f>VLOOKUP(B16,[2]Hoja2!$B$47:$C$66,2,0)</f>
        <v>12</v>
      </c>
      <c r="B16" s="109" t="s">
        <v>49</v>
      </c>
      <c r="C16" s="108">
        <f>VLOOKUP(D16,[2]Hoja2!$B$8:$C$10,2,0)</f>
        <v>1</v>
      </c>
      <c r="D16" s="109" t="s">
        <v>6</v>
      </c>
      <c r="E16" s="108">
        <f>VLOOKUP(F16,[2]Hoja2!$B$12:$C$40,2,0)</f>
        <v>8</v>
      </c>
      <c r="F16" s="110" t="s">
        <v>16</v>
      </c>
      <c r="G16" s="108">
        <v>648</v>
      </c>
      <c r="H16" s="110" t="s">
        <v>265</v>
      </c>
      <c r="I16" s="108">
        <f>VLOOKUP(J16,[2]Desplegables!$D$74:$G$151,2,0)</f>
        <v>32</v>
      </c>
      <c r="J16" s="109" t="s">
        <v>112</v>
      </c>
      <c r="K16" s="108">
        <v>1066</v>
      </c>
      <c r="L16" s="109" t="s">
        <v>260</v>
      </c>
      <c r="M16" s="108">
        <v>4</v>
      </c>
      <c r="N16" s="107" t="s">
        <v>244</v>
      </c>
      <c r="O16" s="106">
        <v>12000</v>
      </c>
      <c r="P16" s="110" t="s">
        <v>230</v>
      </c>
      <c r="Q16" s="110" t="s">
        <v>266</v>
      </c>
      <c r="R16" s="107" t="str">
        <f>VLOOKUP(J16,[2]Desplegables!$D$74:$G$151,4,0)</f>
        <v>2. CULTURA Y RECREACIÓN</v>
      </c>
      <c r="S16" s="107" t="str">
        <f>VLOOKUP(J16,[2]Desplegables!$D$74:$G$151,3,0)</f>
        <v>Eventos y actividades recreativas y deportivas</v>
      </c>
      <c r="T16" s="106" t="s">
        <v>216</v>
      </c>
      <c r="U16" s="105">
        <v>1</v>
      </c>
      <c r="V16" s="105">
        <f t="shared" si="0"/>
        <v>0.89200000000000002</v>
      </c>
      <c r="W16" s="105">
        <f t="shared" si="1"/>
        <v>0.89200000000000002</v>
      </c>
      <c r="X16" s="105">
        <f t="shared" si="2"/>
        <v>0.82199999999999995</v>
      </c>
      <c r="Y16" s="105">
        <f t="shared" si="3"/>
        <v>0.82199999999999995</v>
      </c>
      <c r="Z16" s="104">
        <v>15230</v>
      </c>
      <c r="AA16" s="104">
        <v>3000</v>
      </c>
      <c r="AB16" s="104">
        <v>3000</v>
      </c>
      <c r="AC16" s="111">
        <v>3000</v>
      </c>
      <c r="AD16" s="111">
        <v>3000</v>
      </c>
      <c r="AE16" s="104">
        <f t="shared" si="4"/>
        <v>12000</v>
      </c>
      <c r="AF16" s="104">
        <v>3904</v>
      </c>
      <c r="AG16" s="104">
        <v>3000</v>
      </c>
      <c r="AH16" s="117">
        <v>3000</v>
      </c>
      <c r="AI16" s="117">
        <v>800</v>
      </c>
      <c r="AJ16" s="117">
        <f t="shared" si="5"/>
        <v>10704</v>
      </c>
      <c r="AK16" s="117">
        <v>3500</v>
      </c>
      <c r="AL16" s="117">
        <v>3000</v>
      </c>
      <c r="AM16" s="117">
        <v>3164</v>
      </c>
      <c r="AN16" s="117">
        <v>200</v>
      </c>
      <c r="AO16" s="117">
        <f t="shared" si="6"/>
        <v>9864</v>
      </c>
      <c r="AP16" s="149">
        <v>505212283</v>
      </c>
      <c r="AQ16" s="149">
        <f>96458707+822108547</f>
        <v>918567254</v>
      </c>
      <c r="AR16" s="150">
        <f>3316865+19000000+42400000</f>
        <v>64716865</v>
      </c>
      <c r="AS16" s="150">
        <v>113400000</v>
      </c>
      <c r="AT16" s="150">
        <f t="shared" si="7"/>
        <v>1601896402</v>
      </c>
      <c r="AU16" s="150">
        <v>0</v>
      </c>
      <c r="AV16" s="150">
        <f>76858707+2600000</f>
        <v>79458707</v>
      </c>
      <c r="AW16" s="150">
        <f>3316865+11209999+11266667+12618666</f>
        <v>38412197</v>
      </c>
      <c r="AX16" s="103">
        <v>0</v>
      </c>
      <c r="AY16" s="102">
        <f t="shared" si="8"/>
        <v>117870904</v>
      </c>
      <c r="AZ16" s="101"/>
      <c r="BA16" s="101"/>
      <c r="BB16" s="100" t="s">
        <v>228</v>
      </c>
      <c r="BC16" s="148" t="s">
        <v>542</v>
      </c>
      <c r="BD16" s="144" t="s">
        <v>517</v>
      </c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  <c r="IR16" s="99"/>
      <c r="IS16" s="99"/>
      <c r="IT16" s="99"/>
      <c r="IU16" s="99"/>
      <c r="IV16" s="99"/>
    </row>
    <row r="17" spans="1:256" s="98" customFormat="1" ht="17.25" customHeight="1" x14ac:dyDescent="0.25">
      <c r="A17" s="108">
        <f>VLOOKUP(B17,[2]Hoja2!$B$47:$C$66,2,0)</f>
        <v>12</v>
      </c>
      <c r="B17" s="109" t="s">
        <v>49</v>
      </c>
      <c r="C17" s="108">
        <f>VLOOKUP(D17,[2]Hoja2!$B$8:$C$10,2,0)</f>
        <v>1</v>
      </c>
      <c r="D17" s="109" t="s">
        <v>6</v>
      </c>
      <c r="E17" s="108">
        <f>VLOOKUP(F17,[2]Hoja2!$B$12:$C$40,2,0)</f>
        <v>8</v>
      </c>
      <c r="F17" s="110" t="s">
        <v>16</v>
      </c>
      <c r="G17" s="108">
        <v>649</v>
      </c>
      <c r="H17" s="110" t="s">
        <v>267</v>
      </c>
      <c r="I17" s="108">
        <f>VLOOKUP(J17,[2]Desplegables!$D$74:$G$151,2,0)</f>
        <v>28</v>
      </c>
      <c r="J17" s="109" t="s">
        <v>108</v>
      </c>
      <c r="K17" s="108">
        <v>1066</v>
      </c>
      <c r="L17" s="109" t="s">
        <v>260</v>
      </c>
      <c r="M17" s="108">
        <v>5</v>
      </c>
      <c r="N17" s="107" t="s">
        <v>268</v>
      </c>
      <c r="O17" s="106">
        <v>1</v>
      </c>
      <c r="P17" s="110" t="s">
        <v>269</v>
      </c>
      <c r="Q17" s="110" t="s">
        <v>270</v>
      </c>
      <c r="R17" s="107" t="str">
        <f>VLOOKUP(J17,[2]Desplegables!$D$74:$G$151,4,0)</f>
        <v>2. CULTURA Y RECREACIÓN</v>
      </c>
      <c r="S17" s="107" t="str">
        <f>VLOOKUP(J17,[2]Desplegables!$D$74:$G$151,3,0)</f>
        <v>Promoción turística y posicionamiento de la localidad como destino turístico</v>
      </c>
      <c r="T17" s="106" t="s">
        <v>271</v>
      </c>
      <c r="U17" s="105">
        <v>1</v>
      </c>
      <c r="V17" s="105">
        <f t="shared" si="0"/>
        <v>1</v>
      </c>
      <c r="W17" s="105">
        <f t="shared" si="1"/>
        <v>1</v>
      </c>
      <c r="X17" s="105">
        <f t="shared" si="2"/>
        <v>1</v>
      </c>
      <c r="Y17" s="105">
        <f t="shared" si="3"/>
        <v>1</v>
      </c>
      <c r="Z17" s="104"/>
      <c r="AA17" s="104">
        <v>1</v>
      </c>
      <c r="AB17" s="104">
        <v>1</v>
      </c>
      <c r="AC17" s="104">
        <v>1</v>
      </c>
      <c r="AD17" s="104">
        <v>1</v>
      </c>
      <c r="AE17" s="104">
        <f t="shared" si="4"/>
        <v>1</v>
      </c>
      <c r="AF17" s="104">
        <v>1</v>
      </c>
      <c r="AG17" s="104">
        <v>1</v>
      </c>
      <c r="AH17" s="117">
        <v>1</v>
      </c>
      <c r="AI17" s="104"/>
      <c r="AJ17" s="117">
        <f t="shared" si="5"/>
        <v>1</v>
      </c>
      <c r="AK17" s="117">
        <v>1</v>
      </c>
      <c r="AL17" s="117">
        <v>1</v>
      </c>
      <c r="AM17" s="117">
        <v>1</v>
      </c>
      <c r="AN17" s="117"/>
      <c r="AO17" s="117">
        <f t="shared" si="6"/>
        <v>1</v>
      </c>
      <c r="AP17" s="149">
        <v>0</v>
      </c>
      <c r="AQ17" s="149"/>
      <c r="AR17" s="150">
        <v>0</v>
      </c>
      <c r="AS17" s="150">
        <v>0</v>
      </c>
      <c r="AT17" s="150">
        <f t="shared" si="7"/>
        <v>0</v>
      </c>
      <c r="AU17" s="150">
        <v>0</v>
      </c>
      <c r="AV17" s="150"/>
      <c r="AW17" s="150">
        <v>0</v>
      </c>
      <c r="AX17" s="103">
        <v>0</v>
      </c>
      <c r="AY17" s="102">
        <f t="shared" si="8"/>
        <v>0</v>
      </c>
      <c r="AZ17" s="101"/>
      <c r="BA17" s="101"/>
      <c r="BB17" s="100" t="s">
        <v>228</v>
      </c>
      <c r="BC17" s="148"/>
      <c r="BD17" s="143" t="s">
        <v>272</v>
      </c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</row>
    <row r="18" spans="1:256" s="98" customFormat="1" ht="17.25" hidden="1" customHeight="1" x14ac:dyDescent="0.25">
      <c r="A18" s="108">
        <f>VLOOKUP(B18,[2]Hoja2!$B$47:$C$66,2,0)</f>
        <v>12</v>
      </c>
      <c r="B18" s="109" t="s">
        <v>49</v>
      </c>
      <c r="C18" s="108">
        <f>VLOOKUP(D18,[2]Hoja2!$B$8:$C$10,2,0)</f>
        <v>1</v>
      </c>
      <c r="D18" s="109" t="s">
        <v>6</v>
      </c>
      <c r="E18" s="108">
        <f>VLOOKUP(F18,[2]Hoja2!$B$12:$C$40,2,0)</f>
        <v>8</v>
      </c>
      <c r="F18" s="110" t="s">
        <v>16</v>
      </c>
      <c r="G18" s="108">
        <v>650</v>
      </c>
      <c r="H18" s="110" t="s">
        <v>273</v>
      </c>
      <c r="I18" s="108">
        <f>VLOOKUP(J18,[2]Desplegables!$D$74:$G$151,2,0)</f>
        <v>35</v>
      </c>
      <c r="J18" s="109" t="s">
        <v>274</v>
      </c>
      <c r="K18" s="108">
        <v>1066</v>
      </c>
      <c r="L18" s="109" t="s">
        <v>260</v>
      </c>
      <c r="M18" s="108">
        <v>6</v>
      </c>
      <c r="N18" s="107" t="s">
        <v>275</v>
      </c>
      <c r="O18" s="106">
        <v>16</v>
      </c>
      <c r="P18" s="110" t="s">
        <v>276</v>
      </c>
      <c r="Q18" s="110" t="s">
        <v>277</v>
      </c>
      <c r="R18" s="107" t="str">
        <f>VLOOKUP(J18,[2]Desplegables!$D$74:$G$151,4,0)</f>
        <v>2. CULTURA Y RECREACIÓN</v>
      </c>
      <c r="S18" s="107" t="str">
        <f>VLOOKUP(J18,[2]Desplegables!$D$74:$G$151,3,0)</f>
        <v>Parques y escenarios deportivos</v>
      </c>
      <c r="T18" s="106" t="s">
        <v>216</v>
      </c>
      <c r="U18" s="105">
        <v>1</v>
      </c>
      <c r="V18" s="105">
        <f t="shared" si="0"/>
        <v>1.1875</v>
      </c>
      <c r="W18" s="105">
        <f t="shared" si="1"/>
        <v>1.1875</v>
      </c>
      <c r="X18" s="105">
        <f t="shared" si="2"/>
        <v>1.1875</v>
      </c>
      <c r="Y18" s="105">
        <f t="shared" si="3"/>
        <v>1.1875</v>
      </c>
      <c r="Z18" s="104">
        <v>13</v>
      </c>
      <c r="AA18" s="104">
        <v>4</v>
      </c>
      <c r="AB18" s="104">
        <v>4</v>
      </c>
      <c r="AC18" s="104">
        <v>4</v>
      </c>
      <c r="AD18" s="104">
        <v>4</v>
      </c>
      <c r="AE18" s="104">
        <f t="shared" si="4"/>
        <v>16</v>
      </c>
      <c r="AF18" s="104">
        <v>6</v>
      </c>
      <c r="AG18" s="104">
        <v>10</v>
      </c>
      <c r="AH18" s="117">
        <v>3</v>
      </c>
      <c r="AI18" s="104"/>
      <c r="AJ18" s="117">
        <f t="shared" si="5"/>
        <v>19</v>
      </c>
      <c r="AK18" s="117">
        <v>6</v>
      </c>
      <c r="AL18" s="117">
        <v>10</v>
      </c>
      <c r="AM18" s="117">
        <v>3</v>
      </c>
      <c r="AN18" s="117"/>
      <c r="AO18" s="117">
        <f t="shared" si="6"/>
        <v>19</v>
      </c>
      <c r="AP18" s="149">
        <v>889993043</v>
      </c>
      <c r="AQ18" s="149">
        <f>1252232996+41298000+30914000+26800000+124145959</f>
        <v>1475390955</v>
      </c>
      <c r="AR18" s="150">
        <f>1801578809+198421291</f>
        <v>2000000100</v>
      </c>
      <c r="AS18" s="150">
        <v>0</v>
      </c>
      <c r="AT18" s="150">
        <f t="shared" si="7"/>
        <v>4365384098</v>
      </c>
      <c r="AU18" s="150">
        <v>0</v>
      </c>
      <c r="AV18" s="150"/>
      <c r="AW18" s="150">
        <v>0</v>
      </c>
      <c r="AX18" s="103">
        <v>0</v>
      </c>
      <c r="AY18" s="102">
        <f t="shared" si="8"/>
        <v>0</v>
      </c>
      <c r="AZ18" s="101"/>
      <c r="BA18" s="101"/>
      <c r="BB18" s="100" t="s">
        <v>278</v>
      </c>
      <c r="BC18" s="148"/>
      <c r="BD18" s="143" t="s">
        <v>526</v>
      </c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  <c r="IR18" s="99"/>
      <c r="IS18" s="99"/>
      <c r="IT18" s="99"/>
      <c r="IU18" s="99"/>
      <c r="IV18" s="99"/>
    </row>
    <row r="19" spans="1:256" s="98" customFormat="1" ht="17.25" customHeight="1" x14ac:dyDescent="0.25">
      <c r="A19" s="108">
        <f>VLOOKUP(B19,[2]Hoja2!$B$47:$C$66,2,0)</f>
        <v>12</v>
      </c>
      <c r="B19" s="109" t="s">
        <v>49</v>
      </c>
      <c r="C19" s="108">
        <f>VLOOKUP(D19,[2]Hoja2!$B$8:$C$10,2,0)</f>
        <v>2</v>
      </c>
      <c r="D19" s="109" t="s">
        <v>7</v>
      </c>
      <c r="E19" s="108">
        <f>VLOOKUP(F19,[2]Hoja2!$B$12:$C$40,2,0)</f>
        <v>17</v>
      </c>
      <c r="F19" s="110" t="s">
        <v>22</v>
      </c>
      <c r="G19" s="108">
        <v>651</v>
      </c>
      <c r="H19" s="110" t="s">
        <v>279</v>
      </c>
      <c r="I19" s="108">
        <f>VLOOKUP(J19,[2]Desplegables!$D$74:$G$151,2,0)</f>
        <v>58</v>
      </c>
      <c r="J19" s="109" t="s">
        <v>280</v>
      </c>
      <c r="K19" s="108">
        <v>1067</v>
      </c>
      <c r="L19" s="109" t="s">
        <v>281</v>
      </c>
      <c r="M19" s="108">
        <v>1</v>
      </c>
      <c r="N19" s="107" t="s">
        <v>220</v>
      </c>
      <c r="O19" s="106">
        <v>1</v>
      </c>
      <c r="P19" s="110" t="s">
        <v>282</v>
      </c>
      <c r="Q19" s="110" t="s">
        <v>283</v>
      </c>
      <c r="R19" s="107" t="str">
        <f>VLOOKUP(J19,[2]Desplegables!$D$74:$G$151,4,0)</f>
        <v>1. AMBIENTE</v>
      </c>
      <c r="S19" s="107" t="str">
        <f>VLOOKUP(J19,[2]Desplegables!$D$74:$G$151,3,0)</f>
        <v xml:space="preserve">Manejo integral de residuos sólidos </v>
      </c>
      <c r="T19" s="106" t="s">
        <v>271</v>
      </c>
      <c r="U19" s="105">
        <v>1</v>
      </c>
      <c r="V19" s="105">
        <f t="shared" si="0"/>
        <v>1</v>
      </c>
      <c r="W19" s="105">
        <f t="shared" si="1"/>
        <v>1</v>
      </c>
      <c r="X19" s="105">
        <f t="shared" si="2"/>
        <v>1</v>
      </c>
      <c r="Y19" s="105">
        <f t="shared" si="3"/>
        <v>1</v>
      </c>
      <c r="Z19" s="104"/>
      <c r="AA19" s="104">
        <v>1</v>
      </c>
      <c r="AB19" s="104">
        <v>1</v>
      </c>
      <c r="AC19" s="104">
        <v>1</v>
      </c>
      <c r="AD19" s="104">
        <v>1</v>
      </c>
      <c r="AE19" s="104">
        <f t="shared" si="4"/>
        <v>1</v>
      </c>
      <c r="AF19" s="104">
        <v>1</v>
      </c>
      <c r="AG19" s="104">
        <v>1</v>
      </c>
      <c r="AH19" s="117">
        <v>1</v>
      </c>
      <c r="AI19" s="104"/>
      <c r="AJ19" s="151">
        <f t="shared" si="5"/>
        <v>1</v>
      </c>
      <c r="AK19" s="117">
        <v>1</v>
      </c>
      <c r="AL19" s="117">
        <v>1</v>
      </c>
      <c r="AM19" s="117">
        <v>1</v>
      </c>
      <c r="AN19" s="117"/>
      <c r="AO19" s="117">
        <f t="shared" si="6"/>
        <v>1</v>
      </c>
      <c r="AP19" s="149">
        <v>215651577</v>
      </c>
      <c r="AQ19" s="149">
        <v>15200000</v>
      </c>
      <c r="AR19" s="150">
        <v>7600000</v>
      </c>
      <c r="AS19" s="150">
        <v>0</v>
      </c>
      <c r="AT19" s="150">
        <f t="shared" si="7"/>
        <v>238451577</v>
      </c>
      <c r="AU19" s="150">
        <v>0</v>
      </c>
      <c r="AV19" s="150"/>
      <c r="AW19" s="150">
        <v>5866666</v>
      </c>
      <c r="AX19" s="103">
        <v>0</v>
      </c>
      <c r="AY19" s="102">
        <f t="shared" si="8"/>
        <v>5866666</v>
      </c>
      <c r="AZ19" s="101"/>
      <c r="BA19" s="101"/>
      <c r="BB19" s="100" t="s">
        <v>284</v>
      </c>
      <c r="BC19" s="148"/>
      <c r="BD19" s="143" t="s">
        <v>518</v>
      </c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  <c r="IT19" s="99"/>
      <c r="IU19" s="99"/>
      <c r="IV19" s="99"/>
    </row>
    <row r="20" spans="1:256" s="98" customFormat="1" ht="17.25" customHeight="1" x14ac:dyDescent="0.25">
      <c r="A20" s="108">
        <f>VLOOKUP(B20,[2]Hoja2!$B$47:$C$66,2,0)</f>
        <v>12</v>
      </c>
      <c r="B20" s="109" t="s">
        <v>49</v>
      </c>
      <c r="C20" s="108">
        <f>VLOOKUP(D20,[2]Hoja2!$B$8:$C$10,2,0)</f>
        <v>2</v>
      </c>
      <c r="D20" s="109" t="s">
        <v>7</v>
      </c>
      <c r="E20" s="108">
        <f>VLOOKUP(F20,[2]Hoja2!$B$12:$C$40,2,0)</f>
        <v>17</v>
      </c>
      <c r="F20" s="110" t="s">
        <v>22</v>
      </c>
      <c r="G20" s="108">
        <v>652</v>
      </c>
      <c r="H20" s="110" t="s">
        <v>285</v>
      </c>
      <c r="I20" s="108">
        <f>VLOOKUP(J20,[2]Desplegables!$D$74:$G$151,2,0)</f>
        <v>28</v>
      </c>
      <c r="J20" s="109" t="s">
        <v>108</v>
      </c>
      <c r="K20" s="108">
        <v>1067</v>
      </c>
      <c r="L20" s="109" t="s">
        <v>281</v>
      </c>
      <c r="M20" s="108">
        <v>2</v>
      </c>
      <c r="N20" s="107" t="s">
        <v>286</v>
      </c>
      <c r="O20" s="106">
        <v>1</v>
      </c>
      <c r="P20" s="110" t="s">
        <v>287</v>
      </c>
      <c r="Q20" s="110" t="s">
        <v>288</v>
      </c>
      <c r="R20" s="107" t="str">
        <f>VLOOKUP(J20,[2]Desplegables!$D$74:$G$151,4,0)</f>
        <v>2. CULTURA Y RECREACIÓN</v>
      </c>
      <c r="S20" s="107" t="str">
        <f>VLOOKUP(J20,[2]Desplegables!$D$74:$G$151,3,0)</f>
        <v>Promoción turística y posicionamiento de la localidad como destino turístico</v>
      </c>
      <c r="T20" s="106" t="s">
        <v>271</v>
      </c>
      <c r="U20" s="105">
        <v>1</v>
      </c>
      <c r="V20" s="105">
        <f t="shared" si="0"/>
        <v>1</v>
      </c>
      <c r="W20" s="105">
        <f t="shared" si="1"/>
        <v>1</v>
      </c>
      <c r="X20" s="105">
        <f t="shared" si="2"/>
        <v>1</v>
      </c>
      <c r="Y20" s="105">
        <f t="shared" si="3"/>
        <v>1</v>
      </c>
      <c r="Z20" s="104"/>
      <c r="AA20" s="104">
        <v>1</v>
      </c>
      <c r="AB20" s="104">
        <v>1</v>
      </c>
      <c r="AC20" s="104">
        <v>1</v>
      </c>
      <c r="AD20" s="104">
        <v>1</v>
      </c>
      <c r="AE20" s="104">
        <f t="shared" si="4"/>
        <v>1</v>
      </c>
      <c r="AF20" s="104">
        <v>1</v>
      </c>
      <c r="AG20" s="104">
        <v>1</v>
      </c>
      <c r="AH20" s="117">
        <v>1</v>
      </c>
      <c r="AI20" s="104"/>
      <c r="AJ20" s="151">
        <f t="shared" si="5"/>
        <v>1</v>
      </c>
      <c r="AK20" s="117">
        <v>1</v>
      </c>
      <c r="AL20" s="117">
        <v>1</v>
      </c>
      <c r="AM20" s="117">
        <v>1</v>
      </c>
      <c r="AN20" s="117"/>
      <c r="AO20" s="117">
        <f t="shared" si="6"/>
        <v>1</v>
      </c>
      <c r="AP20" s="149">
        <v>0</v>
      </c>
      <c r="AQ20" s="149"/>
      <c r="AR20" s="150">
        <v>0</v>
      </c>
      <c r="AS20" s="150">
        <v>0</v>
      </c>
      <c r="AT20" s="150">
        <f t="shared" si="7"/>
        <v>0</v>
      </c>
      <c r="AU20" s="150">
        <v>0</v>
      </c>
      <c r="AV20" s="150"/>
      <c r="AW20" s="150">
        <v>0</v>
      </c>
      <c r="AX20" s="103">
        <v>0</v>
      </c>
      <c r="AY20" s="102">
        <f t="shared" si="8"/>
        <v>0</v>
      </c>
      <c r="AZ20" s="101"/>
      <c r="BA20" s="101"/>
      <c r="BB20" s="100" t="s">
        <v>284</v>
      </c>
      <c r="BC20" s="148"/>
      <c r="BD20" s="143" t="s">
        <v>289</v>
      </c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</row>
    <row r="21" spans="1:256" s="98" customFormat="1" ht="17.25" customHeight="1" x14ac:dyDescent="0.25">
      <c r="A21" s="108">
        <f>VLOOKUP(B21,[2]Hoja2!$B$47:$C$66,2,0)</f>
        <v>12</v>
      </c>
      <c r="B21" s="109" t="s">
        <v>49</v>
      </c>
      <c r="C21" s="108">
        <f>VLOOKUP(D21,[2]Hoja2!$B$8:$C$10,2,0)</f>
        <v>2</v>
      </c>
      <c r="D21" s="109" t="s">
        <v>7</v>
      </c>
      <c r="E21" s="108">
        <f>VLOOKUP(F21,[2]Hoja2!$B$12:$C$40,2,0)</f>
        <v>21</v>
      </c>
      <c r="F21" s="110" t="s">
        <v>26</v>
      </c>
      <c r="G21" s="108">
        <v>653</v>
      </c>
      <c r="H21" s="110" t="s">
        <v>290</v>
      </c>
      <c r="I21" s="108">
        <f>VLOOKUP(J21,[2]Desplegables!$D$74:$G$151,2,0)</f>
        <v>58</v>
      </c>
      <c r="J21" s="109" t="s">
        <v>280</v>
      </c>
      <c r="K21" s="108">
        <v>1069</v>
      </c>
      <c r="L21" s="109" t="s">
        <v>291</v>
      </c>
      <c r="M21" s="108">
        <v>1</v>
      </c>
      <c r="N21" s="107" t="s">
        <v>255</v>
      </c>
      <c r="O21" s="106">
        <v>1</v>
      </c>
      <c r="P21" s="110" t="s">
        <v>282</v>
      </c>
      <c r="Q21" s="110" t="s">
        <v>292</v>
      </c>
      <c r="R21" s="107" t="str">
        <f>VLOOKUP(J21,[2]Desplegables!$D$74:$G$151,4,0)</f>
        <v>1. AMBIENTE</v>
      </c>
      <c r="S21" s="107" t="str">
        <f>VLOOKUP(J21,[2]Desplegables!$D$74:$G$151,3,0)</f>
        <v xml:space="preserve">Manejo integral de residuos sólidos </v>
      </c>
      <c r="T21" s="106" t="s">
        <v>271</v>
      </c>
      <c r="U21" s="105">
        <v>1</v>
      </c>
      <c r="V21" s="105">
        <f t="shared" si="0"/>
        <v>1</v>
      </c>
      <c r="W21" s="105">
        <f t="shared" si="1"/>
        <v>1</v>
      </c>
      <c r="X21" s="105">
        <f t="shared" si="2"/>
        <v>1</v>
      </c>
      <c r="Y21" s="105">
        <f t="shared" si="3"/>
        <v>1</v>
      </c>
      <c r="Z21" s="104"/>
      <c r="AA21" s="104">
        <v>1</v>
      </c>
      <c r="AB21" s="104">
        <v>1</v>
      </c>
      <c r="AC21" s="104">
        <v>1</v>
      </c>
      <c r="AD21" s="104">
        <v>1</v>
      </c>
      <c r="AE21" s="104">
        <f t="shared" si="4"/>
        <v>1</v>
      </c>
      <c r="AF21" s="104">
        <v>1</v>
      </c>
      <c r="AG21" s="104">
        <v>1</v>
      </c>
      <c r="AH21" s="117">
        <v>1</v>
      </c>
      <c r="AI21" s="117">
        <v>1</v>
      </c>
      <c r="AJ21" s="151">
        <f t="shared" si="5"/>
        <v>1</v>
      </c>
      <c r="AK21" s="117">
        <v>1</v>
      </c>
      <c r="AL21" s="117">
        <v>1</v>
      </c>
      <c r="AM21" s="117">
        <v>1</v>
      </c>
      <c r="AN21" s="117">
        <v>1</v>
      </c>
      <c r="AO21" s="117">
        <f t="shared" si="6"/>
        <v>1</v>
      </c>
      <c r="AP21" s="149">
        <v>0</v>
      </c>
      <c r="AQ21" s="149">
        <v>147089410</v>
      </c>
      <c r="AR21" s="150">
        <v>208861728</v>
      </c>
      <c r="AS21" s="150">
        <v>8618500</v>
      </c>
      <c r="AT21" s="150">
        <f t="shared" si="7"/>
        <v>364569638</v>
      </c>
      <c r="AU21" s="150">
        <v>0</v>
      </c>
      <c r="AV21" s="150"/>
      <c r="AW21" s="150">
        <v>62548046</v>
      </c>
      <c r="AX21" s="103">
        <v>8618500</v>
      </c>
      <c r="AY21" s="102">
        <f t="shared" si="8"/>
        <v>71166546</v>
      </c>
      <c r="AZ21" s="101"/>
      <c r="BA21" s="101"/>
      <c r="BB21" s="100" t="s">
        <v>228</v>
      </c>
      <c r="BC21" s="148" t="s">
        <v>532</v>
      </c>
      <c r="BD21" s="144" t="s">
        <v>516</v>
      </c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  <c r="IR21" s="99"/>
      <c r="IS21" s="99"/>
      <c r="IT21" s="99"/>
      <c r="IU21" s="99"/>
      <c r="IV21" s="99"/>
    </row>
    <row r="22" spans="1:256" s="98" customFormat="1" ht="17.25" customHeight="1" x14ac:dyDescent="0.25">
      <c r="A22" s="108">
        <f>VLOOKUP(B22,[2]Hoja2!$B$47:$C$66,2,0)</f>
        <v>12</v>
      </c>
      <c r="B22" s="109" t="s">
        <v>49</v>
      </c>
      <c r="C22" s="108">
        <f>VLOOKUP(D22,[2]Hoja2!$B$8:$C$10,2,0)</f>
        <v>2</v>
      </c>
      <c r="D22" s="109" t="s">
        <v>7</v>
      </c>
      <c r="E22" s="108">
        <f>VLOOKUP(F22,[2]Hoja2!$B$12:$C$40,2,0)</f>
        <v>20</v>
      </c>
      <c r="F22" s="110" t="s">
        <v>25</v>
      </c>
      <c r="G22" s="108">
        <v>654</v>
      </c>
      <c r="H22" s="110" t="s">
        <v>293</v>
      </c>
      <c r="I22" s="108">
        <f>VLOOKUP(J22,[2]Desplegables!$D$74:$G$151,2,0)</f>
        <v>55</v>
      </c>
      <c r="J22" s="109" t="s">
        <v>144</v>
      </c>
      <c r="K22" s="108">
        <v>1070</v>
      </c>
      <c r="L22" s="109" t="s">
        <v>294</v>
      </c>
      <c r="M22" s="108">
        <v>1</v>
      </c>
      <c r="N22" s="107" t="s">
        <v>220</v>
      </c>
      <c r="O22" s="106">
        <v>4</v>
      </c>
      <c r="P22" s="110" t="s">
        <v>295</v>
      </c>
      <c r="Q22" s="110" t="s">
        <v>296</v>
      </c>
      <c r="R22" s="107" t="str">
        <f>VLOOKUP(J22,[2]Desplegables!$D$74:$G$151,4,0)</f>
        <v xml:space="preserve">5. GOBIERNO </v>
      </c>
      <c r="S22" s="107" t="str">
        <f>VLOOKUP(J22,[2]Desplegables!$D$74:$G$151,3,0)</f>
        <v>Gestión para la prevención y mitigación del riesgo</v>
      </c>
      <c r="T22" s="106" t="s">
        <v>216</v>
      </c>
      <c r="U22" s="105">
        <v>1</v>
      </c>
      <c r="V22" s="105">
        <f t="shared" si="0"/>
        <v>1</v>
      </c>
      <c r="W22" s="105">
        <f t="shared" si="1"/>
        <v>1</v>
      </c>
      <c r="X22" s="105">
        <f t="shared" si="2"/>
        <v>1</v>
      </c>
      <c r="Y22" s="105">
        <f t="shared" si="3"/>
        <v>1</v>
      </c>
      <c r="Z22" s="104">
        <v>126</v>
      </c>
      <c r="AA22" s="104">
        <v>1</v>
      </c>
      <c r="AB22" s="104">
        <v>1</v>
      </c>
      <c r="AC22" s="104">
        <v>1</v>
      </c>
      <c r="AD22" s="104">
        <v>1</v>
      </c>
      <c r="AE22" s="104">
        <f t="shared" si="4"/>
        <v>4</v>
      </c>
      <c r="AF22" s="104">
        <v>1</v>
      </c>
      <c r="AG22" s="104">
        <v>0</v>
      </c>
      <c r="AH22" s="117">
        <v>2</v>
      </c>
      <c r="AI22" s="117">
        <v>1</v>
      </c>
      <c r="AJ22" s="117">
        <f t="shared" si="5"/>
        <v>4</v>
      </c>
      <c r="AK22" s="117">
        <v>1</v>
      </c>
      <c r="AL22" s="117">
        <v>0</v>
      </c>
      <c r="AM22" s="117">
        <v>2</v>
      </c>
      <c r="AN22" s="117">
        <v>1</v>
      </c>
      <c r="AO22" s="117">
        <f t="shared" si="6"/>
        <v>4</v>
      </c>
      <c r="AP22" s="149">
        <v>36768600</v>
      </c>
      <c r="AQ22" s="149"/>
      <c r="AR22" s="150">
        <v>75350000</v>
      </c>
      <c r="AS22" s="150">
        <f>81030000</f>
        <v>81030000</v>
      </c>
      <c r="AT22" s="150">
        <f t="shared" si="7"/>
        <v>193148600</v>
      </c>
      <c r="AU22" s="150">
        <v>0</v>
      </c>
      <c r="AV22" s="150"/>
      <c r="AW22" s="150">
        <v>54642300</v>
      </c>
      <c r="AX22" s="103">
        <v>13450966</v>
      </c>
      <c r="AY22" s="102">
        <f t="shared" si="8"/>
        <v>68093266</v>
      </c>
      <c r="AZ22" s="101"/>
      <c r="BA22" s="101"/>
      <c r="BB22" s="100" t="s">
        <v>297</v>
      </c>
      <c r="BC22" s="148" t="s">
        <v>545</v>
      </c>
      <c r="BD22" s="143" t="s">
        <v>511</v>
      </c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</row>
    <row r="23" spans="1:256" s="98" customFormat="1" ht="17.25" customHeight="1" x14ac:dyDescent="0.25">
      <c r="A23" s="108">
        <f>VLOOKUP(B23,[2]Hoja2!$B$47:$C$66,2,0)</f>
        <v>12</v>
      </c>
      <c r="B23" s="109" t="s">
        <v>49</v>
      </c>
      <c r="C23" s="108">
        <f>VLOOKUP(D23,[2]Hoja2!$B$8:$C$10,2,0)</f>
        <v>2</v>
      </c>
      <c r="D23" s="109" t="s">
        <v>7</v>
      </c>
      <c r="E23" s="108">
        <f>VLOOKUP(F23,[2]Hoja2!$B$12:$C$40,2,0)</f>
        <v>20</v>
      </c>
      <c r="F23" s="110" t="s">
        <v>25</v>
      </c>
      <c r="G23" s="108">
        <v>655</v>
      </c>
      <c r="H23" s="110" t="s">
        <v>298</v>
      </c>
      <c r="I23" s="108">
        <f>VLOOKUP(J23,[2]Desplegables!$D$74:$G$151,2,0)</f>
        <v>56</v>
      </c>
      <c r="J23" s="109" t="s">
        <v>145</v>
      </c>
      <c r="K23" s="108">
        <v>1070</v>
      </c>
      <c r="L23" s="109" t="s">
        <v>294</v>
      </c>
      <c r="M23" s="108">
        <v>2</v>
      </c>
      <c r="N23" s="107" t="s">
        <v>220</v>
      </c>
      <c r="O23" s="106">
        <v>1</v>
      </c>
      <c r="P23" s="110" t="s">
        <v>299</v>
      </c>
      <c r="Q23" s="110" t="s">
        <v>300</v>
      </c>
      <c r="R23" s="107" t="str">
        <f>VLOOKUP(J23,[2]Desplegables!$D$74:$G$151,4,0)</f>
        <v xml:space="preserve">5. GOBIERNO </v>
      </c>
      <c r="S23" s="107" t="str">
        <f>VLOOKUP(J23,[2]Desplegables!$D$74:$G$151,3,0)</f>
        <v>Gestión para la prevención y mitigación del riesgo</v>
      </c>
      <c r="T23" s="106" t="s">
        <v>216</v>
      </c>
      <c r="U23" s="105">
        <v>1</v>
      </c>
      <c r="V23" s="105">
        <f t="shared" si="0"/>
        <v>2</v>
      </c>
      <c r="W23" s="105">
        <f t="shared" si="1"/>
        <v>2</v>
      </c>
      <c r="X23" s="105">
        <f t="shared" si="2"/>
        <v>2</v>
      </c>
      <c r="Y23" s="105">
        <f t="shared" si="3"/>
        <v>2</v>
      </c>
      <c r="Z23" s="104">
        <v>2</v>
      </c>
      <c r="AA23" s="104">
        <v>0</v>
      </c>
      <c r="AB23" s="104">
        <v>0</v>
      </c>
      <c r="AC23" s="104">
        <v>1</v>
      </c>
      <c r="AD23" s="104">
        <v>0</v>
      </c>
      <c r="AE23" s="104">
        <f t="shared" si="4"/>
        <v>1</v>
      </c>
      <c r="AF23" s="104">
        <v>0</v>
      </c>
      <c r="AG23" s="104">
        <v>0</v>
      </c>
      <c r="AH23" s="117">
        <v>1</v>
      </c>
      <c r="AI23" s="117">
        <v>1</v>
      </c>
      <c r="AJ23" s="117">
        <f t="shared" si="5"/>
        <v>2</v>
      </c>
      <c r="AK23" s="117">
        <v>0</v>
      </c>
      <c r="AL23" s="117">
        <v>0</v>
      </c>
      <c r="AM23" s="117">
        <v>1</v>
      </c>
      <c r="AN23" s="117">
        <v>1</v>
      </c>
      <c r="AO23" s="117">
        <f t="shared" si="6"/>
        <v>2</v>
      </c>
      <c r="AP23" s="149">
        <v>0</v>
      </c>
      <c r="AQ23" s="149"/>
      <c r="AR23" s="150">
        <v>0</v>
      </c>
      <c r="AS23" s="150">
        <v>13450966</v>
      </c>
      <c r="AT23" s="150">
        <f t="shared" si="7"/>
        <v>13450966</v>
      </c>
      <c r="AU23" s="150">
        <v>0</v>
      </c>
      <c r="AV23" s="150"/>
      <c r="AW23" s="150">
        <v>0</v>
      </c>
      <c r="AX23" s="103">
        <v>0</v>
      </c>
      <c r="AY23" s="102">
        <f t="shared" si="8"/>
        <v>0</v>
      </c>
      <c r="AZ23" s="101"/>
      <c r="BA23" s="101"/>
      <c r="BB23" s="100" t="s">
        <v>297</v>
      </c>
      <c r="BC23" s="148" t="s">
        <v>546</v>
      </c>
      <c r="BD23" s="143" t="s">
        <v>519</v>
      </c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</row>
    <row r="24" spans="1:256" s="98" customFormat="1" ht="17.25" hidden="1" customHeight="1" x14ac:dyDescent="0.25">
      <c r="A24" s="108">
        <f>VLOOKUP(B24,[2]Hoja2!$B$47:$C$66,2,0)</f>
        <v>12</v>
      </c>
      <c r="B24" s="109" t="s">
        <v>49</v>
      </c>
      <c r="C24" s="108">
        <f>VLOOKUP(D24,[2]Hoja2!$B$8:$C$10,2,0)</f>
        <v>2</v>
      </c>
      <c r="D24" s="109" t="s">
        <v>7</v>
      </c>
      <c r="E24" s="108">
        <f>VLOOKUP(F24,[2]Hoja2!$B$12:$C$40,2,0)</f>
        <v>19</v>
      </c>
      <c r="F24" s="110" t="s">
        <v>24</v>
      </c>
      <c r="G24" s="108">
        <v>656</v>
      </c>
      <c r="H24" s="110" t="s">
        <v>301</v>
      </c>
      <c r="I24" s="108">
        <f>VLOOKUP(J24,[2]Desplegables!$D$74:$G$151,2,0)</f>
        <v>46</v>
      </c>
      <c r="J24" s="109" t="s">
        <v>132</v>
      </c>
      <c r="K24" s="108">
        <v>1071</v>
      </c>
      <c r="L24" s="109" t="s">
        <v>302</v>
      </c>
      <c r="M24" s="108">
        <v>1</v>
      </c>
      <c r="N24" s="107" t="s">
        <v>303</v>
      </c>
      <c r="O24" s="106">
        <v>70</v>
      </c>
      <c r="P24" s="110" t="s">
        <v>304</v>
      </c>
      <c r="Q24" s="110" t="s">
        <v>305</v>
      </c>
      <c r="R24" s="107" t="str">
        <f>VLOOKUP(J24,[2]Desplegables!$D$74:$G$151,4,0)</f>
        <v>8. MOVILIDAD</v>
      </c>
      <c r="S24" s="107" t="str">
        <f>VLOOKUP(J24,[2]Desplegables!$D$74:$G$151,3,0)</f>
        <v>Vías Locales</v>
      </c>
      <c r="T24" s="106" t="s">
        <v>216</v>
      </c>
      <c r="U24" s="105">
        <v>1</v>
      </c>
      <c r="V24" s="105">
        <f t="shared" si="0"/>
        <v>0.81585714285714284</v>
      </c>
      <c r="W24" s="105">
        <f t="shared" si="1"/>
        <v>0.81585714285714284</v>
      </c>
      <c r="X24" s="105">
        <f t="shared" si="2"/>
        <v>0.55842857142857139</v>
      </c>
      <c r="Y24" s="105">
        <f t="shared" si="3"/>
        <v>0.55842857142857139</v>
      </c>
      <c r="Z24" s="104">
        <v>31.1</v>
      </c>
      <c r="AA24" s="104">
        <v>17.5</v>
      </c>
      <c r="AB24" s="104">
        <v>17.5</v>
      </c>
      <c r="AC24" s="104">
        <v>17.5</v>
      </c>
      <c r="AD24" s="104">
        <v>17.5</v>
      </c>
      <c r="AE24" s="104">
        <f t="shared" si="4"/>
        <v>70</v>
      </c>
      <c r="AF24" s="104">
        <v>17.5</v>
      </c>
      <c r="AG24" s="104">
        <v>18</v>
      </c>
      <c r="AH24" s="117">
        <v>11.61</v>
      </c>
      <c r="AI24" s="117">
        <v>10</v>
      </c>
      <c r="AJ24" s="117">
        <f t="shared" si="5"/>
        <v>57.11</v>
      </c>
      <c r="AK24" s="117">
        <v>17</v>
      </c>
      <c r="AL24" s="117">
        <v>17.989999999999998</v>
      </c>
      <c r="AM24" s="117">
        <v>4.0999999999999996</v>
      </c>
      <c r="AN24" s="117">
        <v>0</v>
      </c>
      <c r="AO24" s="117">
        <f t="shared" si="6"/>
        <v>39.089999999999996</v>
      </c>
      <c r="AP24" s="149">
        <v>6549923089</v>
      </c>
      <c r="AQ24" s="149">
        <v>8213320701</v>
      </c>
      <c r="AR24" s="150">
        <v>4576708638</v>
      </c>
      <c r="AS24" s="150">
        <f>24171230+16657655+11510772763+1002157771</f>
        <v>12553759419</v>
      </c>
      <c r="AT24" s="150">
        <f t="shared" si="7"/>
        <v>31893711847</v>
      </c>
      <c r="AU24" s="150">
        <v>1236170106</v>
      </c>
      <c r="AV24" s="150">
        <f>911164107+834354663</f>
        <v>1745518770</v>
      </c>
      <c r="AW24" s="150">
        <v>1606485424</v>
      </c>
      <c r="AX24" s="103">
        <v>7201294771</v>
      </c>
      <c r="AY24" s="102">
        <f t="shared" si="8"/>
        <v>11789469071</v>
      </c>
      <c r="AZ24" s="101"/>
      <c r="BA24" s="101"/>
      <c r="BB24" s="100" t="s">
        <v>306</v>
      </c>
      <c r="BC24" s="148" t="s">
        <v>547</v>
      </c>
      <c r="BD24" s="144" t="s">
        <v>528</v>
      </c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</row>
    <row r="25" spans="1:256" s="98" customFormat="1" ht="17.25" hidden="1" customHeight="1" x14ac:dyDescent="0.25">
      <c r="A25" s="108">
        <f>VLOOKUP(B25,[2]Hoja2!$B$47:$C$66,2,0)</f>
        <v>12</v>
      </c>
      <c r="B25" s="109" t="s">
        <v>49</v>
      </c>
      <c r="C25" s="108">
        <f>VLOOKUP(D25,[2]Hoja2!$B$8:$C$10,2,0)</f>
        <v>2</v>
      </c>
      <c r="D25" s="109" t="s">
        <v>7</v>
      </c>
      <c r="E25" s="108">
        <f>VLOOKUP(F25,[2]Hoja2!$B$12:$C$40,2,0)</f>
        <v>19</v>
      </c>
      <c r="F25" s="110" t="s">
        <v>24</v>
      </c>
      <c r="G25" s="108">
        <v>657</v>
      </c>
      <c r="H25" s="110" t="s">
        <v>307</v>
      </c>
      <c r="I25" s="108">
        <f>VLOOKUP(J25,[2]Desplegables!$D$74:$G$151,2,0)</f>
        <v>51</v>
      </c>
      <c r="J25" s="109" t="s">
        <v>141</v>
      </c>
      <c r="K25" s="108">
        <v>1071</v>
      </c>
      <c r="L25" s="109" t="s">
        <v>302</v>
      </c>
      <c r="M25" s="108">
        <v>2</v>
      </c>
      <c r="N25" s="107" t="s">
        <v>308</v>
      </c>
      <c r="O25" s="106">
        <v>20000</v>
      </c>
      <c r="P25" s="110" t="s">
        <v>309</v>
      </c>
      <c r="Q25" s="110" t="s">
        <v>310</v>
      </c>
      <c r="R25" s="107" t="str">
        <f>VLOOKUP(J25,[2]Desplegables!$D$74:$G$151,4,0)</f>
        <v>8. MOVILIDAD</v>
      </c>
      <c r="S25" s="107" t="str">
        <f>VLOOKUP(J25,[2]Desplegables!$D$74:$G$151,3,0)</f>
        <v>Espacio Publico</v>
      </c>
      <c r="T25" s="106" t="s">
        <v>216</v>
      </c>
      <c r="U25" s="105">
        <v>1</v>
      </c>
      <c r="V25" s="105">
        <f t="shared" si="0"/>
        <v>1.3210255000000002</v>
      </c>
      <c r="W25" s="105">
        <f t="shared" si="1"/>
        <v>1.3210255000000002</v>
      </c>
      <c r="X25" s="105">
        <f t="shared" si="2"/>
        <v>1.1285580000000002</v>
      </c>
      <c r="Y25" s="105">
        <f t="shared" si="3"/>
        <v>1.1285580000000002</v>
      </c>
      <c r="Z25" s="104">
        <v>12820</v>
      </c>
      <c r="AA25" s="104">
        <v>5000</v>
      </c>
      <c r="AB25" s="104">
        <v>5000</v>
      </c>
      <c r="AC25" s="104">
        <v>5000</v>
      </c>
      <c r="AD25" s="104">
        <v>5000</v>
      </c>
      <c r="AE25" s="104">
        <f t="shared" si="4"/>
        <v>20000</v>
      </c>
      <c r="AF25" s="104">
        <v>7773.26</v>
      </c>
      <c r="AG25" s="104">
        <v>2113.25</v>
      </c>
      <c r="AH25" s="117">
        <v>6534</v>
      </c>
      <c r="AI25" s="117">
        <v>10000</v>
      </c>
      <c r="AJ25" s="117">
        <f t="shared" si="5"/>
        <v>26420.510000000002</v>
      </c>
      <c r="AK25" s="117">
        <v>7773.26</v>
      </c>
      <c r="AL25" s="117">
        <v>9012</v>
      </c>
      <c r="AM25" s="117">
        <v>5785.9</v>
      </c>
      <c r="AN25" s="117">
        <v>0</v>
      </c>
      <c r="AO25" s="117">
        <f t="shared" si="6"/>
        <v>22571.160000000003</v>
      </c>
      <c r="AP25" s="149">
        <v>1499973363</v>
      </c>
      <c r="AQ25" s="149">
        <v>2578302890</v>
      </c>
      <c r="AR25" s="150">
        <v>4259783333</v>
      </c>
      <c r="AS25" s="150">
        <f>2891816780+250539442.8</f>
        <v>3142356222.8000002</v>
      </c>
      <c r="AT25" s="150">
        <f t="shared" si="7"/>
        <v>11480415808.799999</v>
      </c>
      <c r="AU25" s="150">
        <v>0</v>
      </c>
      <c r="AV25" s="150">
        <f>143711135+24251772+291462535</f>
        <v>459425442</v>
      </c>
      <c r="AW25" s="150">
        <v>1808733</v>
      </c>
      <c r="AX25" s="103">
        <v>0</v>
      </c>
      <c r="AY25" s="102">
        <f t="shared" si="8"/>
        <v>461234175</v>
      </c>
      <c r="AZ25" s="101"/>
      <c r="BA25" s="101"/>
      <c r="BB25" s="100" t="s">
        <v>306</v>
      </c>
      <c r="BC25" s="148" t="s">
        <v>548</v>
      </c>
      <c r="BD25" s="144" t="s">
        <v>529</v>
      </c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</row>
    <row r="26" spans="1:256" s="98" customFormat="1" ht="17.25" customHeight="1" x14ac:dyDescent="0.25">
      <c r="A26" s="108">
        <f>VLOOKUP(B26,[2]Hoja2!$B$47:$C$66,2,0)</f>
        <v>12</v>
      </c>
      <c r="B26" s="109" t="s">
        <v>49</v>
      </c>
      <c r="C26" s="108">
        <f>VLOOKUP(D26,[2]Hoja2!$B$8:$C$10,2,0)</f>
        <v>3</v>
      </c>
      <c r="D26" s="109" t="s">
        <v>8</v>
      </c>
      <c r="E26" s="108">
        <f>VLOOKUP(F26,[2]Hoja2!$B$12:$C$40,2,0)</f>
        <v>24</v>
      </c>
      <c r="F26" s="110" t="s">
        <v>28</v>
      </c>
      <c r="G26" s="108">
        <v>658</v>
      </c>
      <c r="H26" s="110" t="s">
        <v>311</v>
      </c>
      <c r="I26" s="108">
        <f>VLOOKUP(J26,[2]Desplegables!$D$74:$G$151,2,0)</f>
        <v>65</v>
      </c>
      <c r="J26" s="109" t="s">
        <v>158</v>
      </c>
      <c r="K26" s="108">
        <v>1072</v>
      </c>
      <c r="L26" s="109" t="s">
        <v>312</v>
      </c>
      <c r="M26" s="108">
        <v>1</v>
      </c>
      <c r="N26" s="107" t="s">
        <v>239</v>
      </c>
      <c r="O26" s="106">
        <v>20</v>
      </c>
      <c r="P26" s="110" t="s">
        <v>313</v>
      </c>
      <c r="Q26" s="110" t="s">
        <v>314</v>
      </c>
      <c r="R26" s="107" t="str">
        <f>VLOOKUP(J26,[2]Desplegables!$D$74:$G$151,4,0)</f>
        <v xml:space="preserve">5. GOBIERNO </v>
      </c>
      <c r="S26" s="107" t="str">
        <f>VLOOKUP(J26,[2]Desplegables!$D$74:$G$151,3,0)</f>
        <v xml:space="preserve">Espacios y procesos de participación ciudadana fortalecidos </v>
      </c>
      <c r="T26" s="106" t="s">
        <v>216</v>
      </c>
      <c r="U26" s="105">
        <v>1</v>
      </c>
      <c r="V26" s="105">
        <f t="shared" si="0"/>
        <v>1.8</v>
      </c>
      <c r="W26" s="105">
        <f t="shared" si="1"/>
        <v>1.8</v>
      </c>
      <c r="X26" s="105">
        <f t="shared" si="2"/>
        <v>1.55</v>
      </c>
      <c r="Y26" s="105">
        <f t="shared" si="3"/>
        <v>1.55</v>
      </c>
      <c r="Z26" s="104">
        <v>36</v>
      </c>
      <c r="AA26" s="104">
        <v>10</v>
      </c>
      <c r="AB26" s="104">
        <v>5</v>
      </c>
      <c r="AC26" s="104">
        <v>5</v>
      </c>
      <c r="AD26" s="104">
        <v>0</v>
      </c>
      <c r="AE26" s="104">
        <f t="shared" si="4"/>
        <v>20</v>
      </c>
      <c r="AF26" s="104">
        <v>25</v>
      </c>
      <c r="AG26" s="104">
        <v>6</v>
      </c>
      <c r="AH26" s="117">
        <v>5</v>
      </c>
      <c r="AI26" s="117"/>
      <c r="AJ26" s="117">
        <f t="shared" si="5"/>
        <v>36</v>
      </c>
      <c r="AK26" s="117">
        <v>25</v>
      </c>
      <c r="AL26" s="117">
        <v>1</v>
      </c>
      <c r="AM26" s="117">
        <v>5</v>
      </c>
      <c r="AN26" s="117"/>
      <c r="AO26" s="117">
        <f t="shared" si="6"/>
        <v>31</v>
      </c>
      <c r="AP26" s="149">
        <v>147383000</v>
      </c>
      <c r="AQ26" s="149">
        <f>156854751+4277805</f>
        <v>161132556</v>
      </c>
      <c r="AR26" s="150">
        <v>222011898</v>
      </c>
      <c r="AS26" s="150">
        <v>0</v>
      </c>
      <c r="AT26" s="150">
        <f t="shared" si="7"/>
        <v>530527454</v>
      </c>
      <c r="AU26" s="150">
        <v>0</v>
      </c>
      <c r="AV26" s="150"/>
      <c r="AW26" s="150">
        <v>110111197</v>
      </c>
      <c r="AX26" s="103">
        <v>0</v>
      </c>
      <c r="AY26" s="102">
        <f t="shared" si="8"/>
        <v>110111197</v>
      </c>
      <c r="AZ26" s="101"/>
      <c r="BA26" s="101"/>
      <c r="BB26" s="100" t="s">
        <v>228</v>
      </c>
      <c r="BC26" s="148"/>
      <c r="BD26" s="144" t="s">
        <v>525</v>
      </c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</row>
    <row r="27" spans="1:256" s="98" customFormat="1" ht="17.25" customHeight="1" x14ac:dyDescent="0.25">
      <c r="A27" s="108">
        <f>VLOOKUP(B27,[2]Hoja2!$B$47:$C$66,2,0)</f>
        <v>12</v>
      </c>
      <c r="B27" s="109" t="s">
        <v>49</v>
      </c>
      <c r="C27" s="108">
        <f>VLOOKUP(D27,[2]Hoja2!$B$8:$C$10,2,0)</f>
        <v>3</v>
      </c>
      <c r="D27" s="109" t="s">
        <v>8</v>
      </c>
      <c r="E27" s="108">
        <f>VLOOKUP(F27,[2]Hoja2!$B$12:$C$40,2,0)</f>
        <v>24</v>
      </c>
      <c r="F27" s="110" t="s">
        <v>28</v>
      </c>
      <c r="G27" s="108">
        <v>659</v>
      </c>
      <c r="H27" s="110" t="s">
        <v>315</v>
      </c>
      <c r="I27" s="108">
        <f>VLOOKUP(J27,[2]Desplegables!$D$74:$G$151,2,0)</f>
        <v>65</v>
      </c>
      <c r="J27" s="109" t="s">
        <v>158</v>
      </c>
      <c r="K27" s="108">
        <v>1072</v>
      </c>
      <c r="L27" s="109" t="s">
        <v>312</v>
      </c>
      <c r="M27" s="108">
        <v>2</v>
      </c>
      <c r="N27" s="107" t="s">
        <v>316</v>
      </c>
      <c r="O27" s="106">
        <v>1</v>
      </c>
      <c r="P27" s="110" t="s">
        <v>317</v>
      </c>
      <c r="Q27" s="110" t="s">
        <v>318</v>
      </c>
      <c r="R27" s="107" t="str">
        <f>VLOOKUP(J27,[2]Desplegables!$D$74:$G$151,4,0)</f>
        <v xml:space="preserve">5. GOBIERNO </v>
      </c>
      <c r="S27" s="107" t="str">
        <f>VLOOKUP(J27,[2]Desplegables!$D$74:$G$151,3,0)</f>
        <v xml:space="preserve">Espacios y procesos de participación ciudadana fortalecidos </v>
      </c>
      <c r="T27" s="106" t="s">
        <v>271</v>
      </c>
      <c r="U27" s="105">
        <v>1</v>
      </c>
      <c r="V27" s="105">
        <f t="shared" si="0"/>
        <v>1</v>
      </c>
      <c r="W27" s="105">
        <f t="shared" si="1"/>
        <v>1</v>
      </c>
      <c r="X27" s="105">
        <f t="shared" si="2"/>
        <v>1</v>
      </c>
      <c r="Y27" s="105">
        <f t="shared" si="3"/>
        <v>1</v>
      </c>
      <c r="Z27" s="104"/>
      <c r="AA27" s="104">
        <v>1</v>
      </c>
      <c r="AB27" s="104">
        <v>1</v>
      </c>
      <c r="AC27" s="104">
        <v>1</v>
      </c>
      <c r="AD27" s="104">
        <v>1</v>
      </c>
      <c r="AE27" s="104">
        <f t="shared" si="4"/>
        <v>1</v>
      </c>
      <c r="AF27" s="104">
        <v>1</v>
      </c>
      <c r="AG27" s="104">
        <v>1</v>
      </c>
      <c r="AH27" s="117">
        <v>1</v>
      </c>
      <c r="AI27" s="117"/>
      <c r="AJ27" s="117">
        <f t="shared" si="5"/>
        <v>1</v>
      </c>
      <c r="AK27" s="117">
        <v>1</v>
      </c>
      <c r="AL27" s="117">
        <v>1</v>
      </c>
      <c r="AM27" s="117">
        <v>1</v>
      </c>
      <c r="AN27" s="117"/>
      <c r="AO27" s="117">
        <f t="shared" si="6"/>
        <v>1</v>
      </c>
      <c r="AP27" s="149">
        <v>45946954</v>
      </c>
      <c r="AQ27" s="149">
        <v>0</v>
      </c>
      <c r="AR27" s="150">
        <v>0</v>
      </c>
      <c r="AS27" s="150">
        <v>0</v>
      </c>
      <c r="AT27" s="150">
        <f t="shared" si="7"/>
        <v>45946954</v>
      </c>
      <c r="AU27" s="150">
        <v>0</v>
      </c>
      <c r="AV27" s="150"/>
      <c r="AW27" s="150">
        <v>0</v>
      </c>
      <c r="AX27" s="103">
        <v>0</v>
      </c>
      <c r="AY27" s="102">
        <f t="shared" si="8"/>
        <v>0</v>
      </c>
      <c r="AZ27" s="101"/>
      <c r="BA27" s="101"/>
      <c r="BB27" s="100" t="s">
        <v>228</v>
      </c>
      <c r="BC27" s="148"/>
      <c r="BD27" s="144" t="s">
        <v>319</v>
      </c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</row>
    <row r="28" spans="1:256" s="98" customFormat="1" ht="17.25" customHeight="1" x14ac:dyDescent="0.25">
      <c r="A28" s="108">
        <f>VLOOKUP(B28,[2]Hoja2!$B$47:$C$66,2,0)</f>
        <v>12</v>
      </c>
      <c r="B28" s="109" t="s">
        <v>49</v>
      </c>
      <c r="C28" s="108">
        <f>VLOOKUP(D28,[2]Hoja2!$B$8:$C$10,2,0)</f>
        <v>3</v>
      </c>
      <c r="D28" s="109" t="s">
        <v>8</v>
      </c>
      <c r="E28" s="108">
        <f>VLOOKUP(F28,[2]Hoja2!$B$12:$C$40,2,0)</f>
        <v>24</v>
      </c>
      <c r="F28" s="110" t="s">
        <v>28</v>
      </c>
      <c r="G28" s="108">
        <v>660</v>
      </c>
      <c r="H28" s="110" t="s">
        <v>320</v>
      </c>
      <c r="I28" s="108">
        <f>VLOOKUP(J28,[2]Desplegables!$D$74:$G$151,2,0)</f>
        <v>61</v>
      </c>
      <c r="J28" s="109" t="s">
        <v>153</v>
      </c>
      <c r="K28" s="108">
        <v>1072</v>
      </c>
      <c r="L28" s="109" t="s">
        <v>312</v>
      </c>
      <c r="M28" s="108">
        <v>3</v>
      </c>
      <c r="N28" s="107" t="s">
        <v>316</v>
      </c>
      <c r="O28" s="106">
        <v>4</v>
      </c>
      <c r="P28" s="110" t="s">
        <v>321</v>
      </c>
      <c r="Q28" s="110" t="s">
        <v>322</v>
      </c>
      <c r="R28" s="107" t="str">
        <f>VLOOKUP(J28,[2]Desplegables!$D$74:$G$151,4,0)</f>
        <v xml:space="preserve">5. GOBIERNO </v>
      </c>
      <c r="S28" s="107" t="str">
        <f>VLOOKUP(J28,[2]Desplegables!$D$74:$G$151,3,0)</f>
        <v xml:space="preserve">Espacios y procesos de participación ciudadana fortalecidos </v>
      </c>
      <c r="T28" s="106" t="s">
        <v>216</v>
      </c>
      <c r="U28" s="105">
        <v>1</v>
      </c>
      <c r="V28" s="105">
        <f t="shared" si="0"/>
        <v>0.75</v>
      </c>
      <c r="W28" s="105">
        <f t="shared" si="1"/>
        <v>0.75</v>
      </c>
      <c r="X28" s="105">
        <f t="shared" si="2"/>
        <v>0.75</v>
      </c>
      <c r="Y28" s="105">
        <f t="shared" si="3"/>
        <v>0.75</v>
      </c>
      <c r="Z28" s="104">
        <v>2000</v>
      </c>
      <c r="AA28" s="104">
        <v>1</v>
      </c>
      <c r="AB28" s="104">
        <v>1</v>
      </c>
      <c r="AC28" s="104">
        <v>1</v>
      </c>
      <c r="AD28" s="104">
        <v>1</v>
      </c>
      <c r="AE28" s="104">
        <f t="shared" si="4"/>
        <v>4</v>
      </c>
      <c r="AF28" s="104">
        <v>1</v>
      </c>
      <c r="AG28" s="104">
        <v>1</v>
      </c>
      <c r="AH28" s="117">
        <v>0</v>
      </c>
      <c r="AI28" s="117">
        <v>1</v>
      </c>
      <c r="AJ28" s="117">
        <f t="shared" si="5"/>
        <v>3</v>
      </c>
      <c r="AK28" s="117">
        <v>1</v>
      </c>
      <c r="AL28" s="117">
        <v>1</v>
      </c>
      <c r="AM28" s="117">
        <v>0</v>
      </c>
      <c r="AN28" s="117">
        <v>1</v>
      </c>
      <c r="AO28" s="117">
        <f t="shared" si="6"/>
        <v>3</v>
      </c>
      <c r="AP28" s="149">
        <v>0</v>
      </c>
      <c r="AQ28" s="149">
        <v>11500000</v>
      </c>
      <c r="AR28" s="150">
        <v>0</v>
      </c>
      <c r="AS28" s="150">
        <f>110000000-40346666</f>
        <v>69653334</v>
      </c>
      <c r="AT28" s="150">
        <f t="shared" si="7"/>
        <v>81153334</v>
      </c>
      <c r="AU28" s="150">
        <v>0</v>
      </c>
      <c r="AV28" s="150">
        <v>11465000</v>
      </c>
      <c r="AW28" s="150">
        <v>0</v>
      </c>
      <c r="AX28" s="150">
        <v>48757334</v>
      </c>
      <c r="AY28" s="149">
        <f t="shared" si="8"/>
        <v>60222334</v>
      </c>
      <c r="AZ28" s="153"/>
      <c r="BA28" s="153"/>
      <c r="BB28" s="154" t="s">
        <v>228</v>
      </c>
      <c r="BC28" s="155" t="s">
        <v>549</v>
      </c>
      <c r="BD28" s="144" t="s">
        <v>319</v>
      </c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</row>
    <row r="29" spans="1:256" s="98" customFormat="1" ht="17.25" customHeight="1" x14ac:dyDescent="0.25">
      <c r="A29" s="108">
        <f>VLOOKUP(B29,[2]Hoja2!$B$47:$C$66,2,0)</f>
        <v>12</v>
      </c>
      <c r="B29" s="109" t="s">
        <v>49</v>
      </c>
      <c r="C29" s="108">
        <f>VLOOKUP(D29,[2]Hoja2!$B$8:$C$10,2,0)</f>
        <v>3</v>
      </c>
      <c r="D29" s="109" t="s">
        <v>8</v>
      </c>
      <c r="E29" s="108">
        <f>VLOOKUP(F29,[2]Hoja2!$B$12:$C$40,2,0)</f>
        <v>26</v>
      </c>
      <c r="F29" s="110" t="s">
        <v>30</v>
      </c>
      <c r="G29" s="108">
        <v>661</v>
      </c>
      <c r="H29" s="110" t="s">
        <v>323</v>
      </c>
      <c r="I29" s="108">
        <f>VLOOKUP(J29,[2]Desplegables!$D$74:$G$151,2,0)</f>
        <v>72</v>
      </c>
      <c r="J29" s="109" t="s">
        <v>324</v>
      </c>
      <c r="K29" s="108">
        <v>1073</v>
      </c>
      <c r="L29" s="109" t="s">
        <v>325</v>
      </c>
      <c r="M29" s="108">
        <v>1</v>
      </c>
      <c r="N29" s="107" t="s">
        <v>220</v>
      </c>
      <c r="O29" s="106">
        <v>8</v>
      </c>
      <c r="P29" s="110" t="s">
        <v>326</v>
      </c>
      <c r="Q29" s="110"/>
      <c r="R29" s="107" t="str">
        <f>VLOOKUP(J29,[2]Desplegables!$D$74:$G$151,4,0)</f>
        <v xml:space="preserve">5. GOBIERNO </v>
      </c>
      <c r="S29" s="107" t="str">
        <f>VLOOKUP(J29,[2]Desplegables!$D$74:$G$151,3,0)</f>
        <v>Espacios para el control social</v>
      </c>
      <c r="T29" s="106" t="s">
        <v>216</v>
      </c>
      <c r="U29" s="105">
        <v>1</v>
      </c>
      <c r="V29" s="105">
        <f t="shared" si="0"/>
        <v>0.75</v>
      </c>
      <c r="W29" s="105">
        <f t="shared" si="1"/>
        <v>0.75</v>
      </c>
      <c r="X29" s="105">
        <f t="shared" si="2"/>
        <v>0.75</v>
      </c>
      <c r="Y29" s="105">
        <f t="shared" si="3"/>
        <v>0.75</v>
      </c>
      <c r="Z29" s="104">
        <v>4</v>
      </c>
      <c r="AA29" s="104">
        <v>2</v>
      </c>
      <c r="AB29" s="104">
        <v>2</v>
      </c>
      <c r="AC29" s="104">
        <v>2</v>
      </c>
      <c r="AD29" s="104">
        <v>2</v>
      </c>
      <c r="AE29" s="104">
        <f t="shared" si="4"/>
        <v>8</v>
      </c>
      <c r="AF29" s="104">
        <v>2</v>
      </c>
      <c r="AG29" s="104">
        <v>2</v>
      </c>
      <c r="AH29" s="117">
        <v>2</v>
      </c>
      <c r="AI29" s="117"/>
      <c r="AJ29" s="117">
        <f t="shared" si="5"/>
        <v>6</v>
      </c>
      <c r="AK29" s="117">
        <v>2</v>
      </c>
      <c r="AL29" s="117">
        <v>2</v>
      </c>
      <c r="AM29" s="117">
        <v>2</v>
      </c>
      <c r="AN29" s="117"/>
      <c r="AO29" s="117">
        <f t="shared" si="6"/>
        <v>6</v>
      </c>
      <c r="AP29" s="149">
        <v>22952801</v>
      </c>
      <c r="AQ29" s="149"/>
      <c r="AR29" s="150">
        <v>0</v>
      </c>
      <c r="AS29" s="150">
        <v>0</v>
      </c>
      <c r="AT29" s="150">
        <f t="shared" si="7"/>
        <v>22952801</v>
      </c>
      <c r="AU29" s="150">
        <v>7925150</v>
      </c>
      <c r="AV29" s="150"/>
      <c r="AW29" s="150">
        <v>0</v>
      </c>
      <c r="AX29" s="103">
        <v>0</v>
      </c>
      <c r="AY29" s="102">
        <f t="shared" si="8"/>
        <v>7925150</v>
      </c>
      <c r="AZ29" s="101"/>
      <c r="BA29" s="101"/>
      <c r="BB29" s="100" t="s">
        <v>228</v>
      </c>
      <c r="BC29" s="148"/>
      <c r="BD29" s="143" t="s">
        <v>534</v>
      </c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</row>
    <row r="30" spans="1:256" s="98" customFormat="1" ht="17.25" customHeight="1" x14ac:dyDescent="0.25">
      <c r="A30" s="108">
        <f>VLOOKUP(B30,[2]Hoja2!$B$47:$C$66,2,0)</f>
        <v>12</v>
      </c>
      <c r="B30" s="109" t="s">
        <v>49</v>
      </c>
      <c r="C30" s="108">
        <f>VLOOKUP(D30,[2]Hoja2!$B$8:$C$10,2,0)</f>
        <v>3</v>
      </c>
      <c r="D30" s="109" t="s">
        <v>8</v>
      </c>
      <c r="E30" s="108">
        <f>VLOOKUP(F30,[2]Hoja2!$B$12:$C$40,2,0)</f>
        <v>26</v>
      </c>
      <c r="F30" s="110" t="s">
        <v>30</v>
      </c>
      <c r="G30" s="108">
        <v>662</v>
      </c>
      <c r="H30" s="110" t="s">
        <v>327</v>
      </c>
      <c r="I30" s="108" t="s">
        <v>361</v>
      </c>
      <c r="J30" s="109" t="s">
        <v>219</v>
      </c>
      <c r="K30" s="108">
        <v>1073</v>
      </c>
      <c r="L30" s="109" t="s">
        <v>325</v>
      </c>
      <c r="M30" s="108">
        <v>2</v>
      </c>
      <c r="N30" s="107" t="s">
        <v>316</v>
      </c>
      <c r="O30" s="106">
        <v>24</v>
      </c>
      <c r="P30" s="110" t="s">
        <v>328</v>
      </c>
      <c r="Q30" s="110" t="s">
        <v>329</v>
      </c>
      <c r="R30" s="107" t="s">
        <v>379</v>
      </c>
      <c r="S30" s="107" t="s">
        <v>361</v>
      </c>
      <c r="T30" s="106" t="s">
        <v>216</v>
      </c>
      <c r="U30" s="105">
        <v>1</v>
      </c>
      <c r="V30" s="105">
        <f t="shared" si="0"/>
        <v>1.1666666666666667</v>
      </c>
      <c r="W30" s="105">
        <f t="shared" si="1"/>
        <v>1.1666666666666667</v>
      </c>
      <c r="X30" s="105">
        <f t="shared" si="2"/>
        <v>1.1666666666666667</v>
      </c>
      <c r="Y30" s="105">
        <f t="shared" si="3"/>
        <v>1.1666666666666667</v>
      </c>
      <c r="Z30" s="104"/>
      <c r="AA30" s="104">
        <v>6</v>
      </c>
      <c r="AB30" s="104">
        <v>6</v>
      </c>
      <c r="AC30" s="104">
        <v>6</v>
      </c>
      <c r="AD30" s="104">
        <v>6</v>
      </c>
      <c r="AE30" s="104">
        <f t="shared" si="4"/>
        <v>24</v>
      </c>
      <c r="AF30" s="104">
        <v>7</v>
      </c>
      <c r="AG30" s="104">
        <v>8</v>
      </c>
      <c r="AH30" s="117">
        <v>13</v>
      </c>
      <c r="AI30" s="117"/>
      <c r="AJ30" s="117">
        <f t="shared" si="5"/>
        <v>28</v>
      </c>
      <c r="AK30" s="117">
        <v>7</v>
      </c>
      <c r="AL30" s="117">
        <v>8</v>
      </c>
      <c r="AM30" s="117">
        <v>13</v>
      </c>
      <c r="AN30" s="117"/>
      <c r="AO30" s="117">
        <f t="shared" si="6"/>
        <v>28</v>
      </c>
      <c r="AP30" s="149">
        <v>22785600</v>
      </c>
      <c r="AQ30" s="149"/>
      <c r="AR30" s="150">
        <v>0</v>
      </c>
      <c r="AS30" s="150">
        <v>0</v>
      </c>
      <c r="AT30" s="150">
        <f t="shared" si="7"/>
        <v>22785600</v>
      </c>
      <c r="AU30" s="150">
        <v>0</v>
      </c>
      <c r="AV30" s="150"/>
      <c r="AW30" s="150">
        <v>0</v>
      </c>
      <c r="AX30" s="103">
        <v>0</v>
      </c>
      <c r="AY30" s="102">
        <f t="shared" si="8"/>
        <v>0</v>
      </c>
      <c r="AZ30" s="101"/>
      <c r="BA30" s="101"/>
      <c r="BB30" s="100" t="s">
        <v>228</v>
      </c>
      <c r="BC30" s="148"/>
      <c r="BD30" s="143" t="s">
        <v>535</v>
      </c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</row>
    <row r="31" spans="1:256" s="98" customFormat="1" ht="17.25" customHeight="1" x14ac:dyDescent="0.25">
      <c r="A31" s="108">
        <f>VLOOKUP(B31,[2]Hoja2!$B$47:$C$66,2,0)</f>
        <v>12</v>
      </c>
      <c r="B31" s="109" t="s">
        <v>49</v>
      </c>
      <c r="C31" s="108">
        <f>VLOOKUP(D31,[2]Hoja2!$B$8:$C$10,2,0)</f>
        <v>3</v>
      </c>
      <c r="D31" s="109" t="s">
        <v>8</v>
      </c>
      <c r="E31" s="108">
        <f>VLOOKUP(F31,[2]Hoja2!$B$12:$C$40,2,0)</f>
        <v>27</v>
      </c>
      <c r="F31" s="110" t="s">
        <v>31</v>
      </c>
      <c r="G31" s="108">
        <v>663</v>
      </c>
      <c r="H31" s="110" t="s">
        <v>330</v>
      </c>
      <c r="I31" s="108">
        <f>VLOOKUP(J31,[2]Desplegables!$D$74:$G$151,2,0)</f>
        <v>69</v>
      </c>
      <c r="J31" s="109" t="s">
        <v>331</v>
      </c>
      <c r="K31" s="108">
        <v>1074</v>
      </c>
      <c r="L31" s="109" t="s">
        <v>332</v>
      </c>
      <c r="M31" s="108">
        <v>1</v>
      </c>
      <c r="N31" s="107" t="s">
        <v>244</v>
      </c>
      <c r="O31" s="106">
        <v>800</v>
      </c>
      <c r="P31" s="110" t="s">
        <v>230</v>
      </c>
      <c r="Q31" s="110" t="s">
        <v>333</v>
      </c>
      <c r="R31" s="107" t="str">
        <f>VLOOKUP(J31,[2]Desplegables!$D$74:$G$151,4,0)</f>
        <v xml:space="preserve">5. GOBIERNO </v>
      </c>
      <c r="S31" s="107" t="str">
        <f>VLOOKUP(J31,[2]Desplegables!$D$74:$G$151,3,0)</f>
        <v>Prevención, atención y gestión del conflicto en la localidad</v>
      </c>
      <c r="T31" s="106" t="s">
        <v>216</v>
      </c>
      <c r="U31" s="105">
        <v>1</v>
      </c>
      <c r="V31" s="105">
        <f t="shared" si="0"/>
        <v>1</v>
      </c>
      <c r="W31" s="105">
        <f t="shared" si="1"/>
        <v>1</v>
      </c>
      <c r="X31" s="105">
        <f t="shared" si="2"/>
        <v>1</v>
      </c>
      <c r="Y31" s="105">
        <f t="shared" si="3"/>
        <v>1</v>
      </c>
      <c r="Z31" s="104">
        <v>2500</v>
      </c>
      <c r="AA31" s="104">
        <v>200</v>
      </c>
      <c r="AB31" s="104">
        <v>200</v>
      </c>
      <c r="AC31" s="104">
        <v>200</v>
      </c>
      <c r="AD31" s="104">
        <v>200</v>
      </c>
      <c r="AE31" s="104">
        <f t="shared" si="4"/>
        <v>800</v>
      </c>
      <c r="AF31" s="104">
        <v>200</v>
      </c>
      <c r="AG31" s="104">
        <v>200</v>
      </c>
      <c r="AH31" s="117">
        <v>200</v>
      </c>
      <c r="AI31" s="117">
        <v>200</v>
      </c>
      <c r="AJ31" s="117">
        <f t="shared" si="5"/>
        <v>800</v>
      </c>
      <c r="AK31" s="117">
        <v>200</v>
      </c>
      <c r="AL31" s="117">
        <v>200</v>
      </c>
      <c r="AM31" s="117">
        <v>200</v>
      </c>
      <c r="AN31" s="117">
        <v>200</v>
      </c>
      <c r="AO31" s="117">
        <f t="shared" si="6"/>
        <v>800</v>
      </c>
      <c r="AP31" s="149">
        <v>107192985</v>
      </c>
      <c r="AQ31" s="149">
        <f>30000000+14650000+30000000</f>
        <v>74650000</v>
      </c>
      <c r="AR31" s="150">
        <f>115440000+6000000+6000000</f>
        <v>127440000</v>
      </c>
      <c r="AS31" s="150">
        <f>18000000+182460000</f>
        <v>200460000</v>
      </c>
      <c r="AT31" s="150">
        <f t="shared" si="7"/>
        <v>509742985</v>
      </c>
      <c r="AU31" s="150">
        <v>0</v>
      </c>
      <c r="AV31" s="150"/>
      <c r="AW31" s="150">
        <f>34265978+3700000+3200000</f>
        <v>41165978</v>
      </c>
      <c r="AX31" s="103">
        <v>18000000</v>
      </c>
      <c r="AY31" s="102">
        <f t="shared" si="8"/>
        <v>59165978</v>
      </c>
      <c r="AZ31" s="101"/>
      <c r="BA31" s="101"/>
      <c r="BB31" s="100" t="s">
        <v>334</v>
      </c>
      <c r="BC31" s="159" t="s">
        <v>543</v>
      </c>
      <c r="BD31" s="143" t="s">
        <v>522</v>
      </c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</row>
    <row r="32" spans="1:256" s="98" customFormat="1" ht="17.25" customHeight="1" x14ac:dyDescent="0.25">
      <c r="A32" s="108">
        <f>VLOOKUP(B32,[2]Hoja2!$B$47:$C$66,2,0)</f>
        <v>12</v>
      </c>
      <c r="B32" s="109" t="s">
        <v>49</v>
      </c>
      <c r="C32" s="108">
        <f>VLOOKUP(D32,[2]Hoja2!$B$8:$C$10,2,0)</f>
        <v>3</v>
      </c>
      <c r="D32" s="109" t="s">
        <v>8</v>
      </c>
      <c r="E32" s="108">
        <f>VLOOKUP(F32,[2]Hoja2!$B$12:$C$40,2,0)</f>
        <v>27</v>
      </c>
      <c r="F32" s="110" t="s">
        <v>31</v>
      </c>
      <c r="G32" s="108">
        <v>664</v>
      </c>
      <c r="H32" s="110" t="s">
        <v>335</v>
      </c>
      <c r="I32" s="108">
        <f>VLOOKUP(J32,[2]Desplegables!$D$74:$G$151,2,0)</f>
        <v>74</v>
      </c>
      <c r="J32" s="109" t="s">
        <v>167</v>
      </c>
      <c r="K32" s="108">
        <v>1074</v>
      </c>
      <c r="L32" s="109" t="s">
        <v>332</v>
      </c>
      <c r="M32" s="108">
        <v>2</v>
      </c>
      <c r="N32" s="107" t="s">
        <v>220</v>
      </c>
      <c r="O32" s="106">
        <v>4</v>
      </c>
      <c r="P32" s="110" t="s">
        <v>336</v>
      </c>
      <c r="Q32" s="110" t="s">
        <v>337</v>
      </c>
      <c r="R32" s="107" t="str">
        <f>VLOOKUP(J32,[2]Desplegables!$D$74:$G$151,4,0)</f>
        <v xml:space="preserve">5. GOBIERNO </v>
      </c>
      <c r="S32" s="107" t="str">
        <f>VLOOKUP(J32,[2]Desplegables!$D$74:$G$151,3,0)</f>
        <v>Infraestructura para la atención de servicio al ciudadano</v>
      </c>
      <c r="T32" s="106" t="s">
        <v>216</v>
      </c>
      <c r="U32" s="105">
        <v>1</v>
      </c>
      <c r="V32" s="105">
        <f t="shared" si="0"/>
        <v>1.75</v>
      </c>
      <c r="W32" s="105">
        <f t="shared" si="1"/>
        <v>1.75</v>
      </c>
      <c r="X32" s="105">
        <f t="shared" si="2"/>
        <v>1.75</v>
      </c>
      <c r="Y32" s="105">
        <f t="shared" si="3"/>
        <v>1.75</v>
      </c>
      <c r="Z32" s="104">
        <v>0</v>
      </c>
      <c r="AA32" s="104">
        <v>1</v>
      </c>
      <c r="AB32" s="104">
        <v>1</v>
      </c>
      <c r="AC32" s="104">
        <v>1</v>
      </c>
      <c r="AD32" s="104">
        <v>1</v>
      </c>
      <c r="AE32" s="104">
        <f t="shared" si="4"/>
        <v>4</v>
      </c>
      <c r="AF32" s="104">
        <v>1</v>
      </c>
      <c r="AG32" s="104">
        <v>1</v>
      </c>
      <c r="AH32" s="117">
        <v>4</v>
      </c>
      <c r="AI32" s="117">
        <v>1</v>
      </c>
      <c r="AJ32" s="117">
        <f t="shared" si="5"/>
        <v>7</v>
      </c>
      <c r="AK32" s="117">
        <v>1</v>
      </c>
      <c r="AL32" s="117">
        <v>1</v>
      </c>
      <c r="AM32" s="117">
        <v>4</v>
      </c>
      <c r="AN32" s="117">
        <v>1</v>
      </c>
      <c r="AO32" s="117">
        <f t="shared" si="6"/>
        <v>7</v>
      </c>
      <c r="AP32" s="149">
        <v>38498065</v>
      </c>
      <c r="AQ32" s="149">
        <v>30000000</v>
      </c>
      <c r="AR32" s="150">
        <f>98000000+6000000</f>
        <v>104000000</v>
      </c>
      <c r="AS32" s="150">
        <v>10000000</v>
      </c>
      <c r="AT32" s="150">
        <f t="shared" si="7"/>
        <v>182498065</v>
      </c>
      <c r="AU32" s="150">
        <v>0</v>
      </c>
      <c r="AV32" s="150"/>
      <c r="AW32" s="150">
        <f>42000006+27066667+3700000</f>
        <v>72766673</v>
      </c>
      <c r="AX32" s="103">
        <v>10000000</v>
      </c>
      <c r="AY32" s="102">
        <f t="shared" si="8"/>
        <v>82766673</v>
      </c>
      <c r="AZ32" s="101"/>
      <c r="BA32" s="101"/>
      <c r="BB32" s="100" t="s">
        <v>334</v>
      </c>
      <c r="BC32" s="148" t="s">
        <v>533</v>
      </c>
      <c r="BD32" s="143" t="s">
        <v>524</v>
      </c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  <c r="IR32" s="99"/>
      <c r="IS32" s="99"/>
      <c r="IT32" s="99"/>
      <c r="IU32" s="99"/>
      <c r="IV32" s="99"/>
    </row>
    <row r="33" spans="1:256" s="98" customFormat="1" ht="17.25" customHeight="1" x14ac:dyDescent="0.25">
      <c r="A33" s="108">
        <f>VLOOKUP(B33,[2]Hoja2!$B$47:$C$66,2,0)</f>
        <v>12</v>
      </c>
      <c r="B33" s="109" t="s">
        <v>49</v>
      </c>
      <c r="C33" s="108">
        <f>VLOOKUP(D33,[2]Hoja2!$B$8:$C$10,2,0)</f>
        <v>3</v>
      </c>
      <c r="D33" s="109" t="s">
        <v>8</v>
      </c>
      <c r="E33" s="108">
        <f>VLOOKUP(F33,[2]Hoja2!$B$12:$C$40,2,0)</f>
        <v>27</v>
      </c>
      <c r="F33" s="110" t="s">
        <v>31</v>
      </c>
      <c r="G33" s="108">
        <v>665</v>
      </c>
      <c r="H33" s="110" t="s">
        <v>338</v>
      </c>
      <c r="I33" s="108" t="s">
        <v>361</v>
      </c>
      <c r="J33" s="109" t="s">
        <v>219</v>
      </c>
      <c r="K33" s="108">
        <v>1075</v>
      </c>
      <c r="L33" s="109" t="s">
        <v>339</v>
      </c>
      <c r="M33" s="108">
        <v>1</v>
      </c>
      <c r="N33" s="107" t="s">
        <v>255</v>
      </c>
      <c r="O33" s="106">
        <v>4</v>
      </c>
      <c r="P33" s="110" t="s">
        <v>251</v>
      </c>
      <c r="Q33" s="110" t="s">
        <v>340</v>
      </c>
      <c r="R33" s="107" t="s">
        <v>379</v>
      </c>
      <c r="S33" s="107" t="s">
        <v>361</v>
      </c>
      <c r="T33" s="106" t="s">
        <v>216</v>
      </c>
      <c r="U33" s="105">
        <v>1</v>
      </c>
      <c r="V33" s="105">
        <f t="shared" si="0"/>
        <v>1.5</v>
      </c>
      <c r="W33" s="105">
        <f t="shared" si="1"/>
        <v>1.5</v>
      </c>
      <c r="X33" s="105">
        <f t="shared" si="2"/>
        <v>1</v>
      </c>
      <c r="Y33" s="105">
        <f t="shared" si="3"/>
        <v>1</v>
      </c>
      <c r="Z33" s="104"/>
      <c r="AA33" s="104">
        <v>1</v>
      </c>
      <c r="AB33" s="104">
        <v>1</v>
      </c>
      <c r="AC33" s="104">
        <v>1</v>
      </c>
      <c r="AD33" s="104">
        <v>1</v>
      </c>
      <c r="AE33" s="104">
        <f t="shared" si="4"/>
        <v>4</v>
      </c>
      <c r="AF33" s="104">
        <v>4</v>
      </c>
      <c r="AG33" s="104">
        <v>1</v>
      </c>
      <c r="AH33" s="117">
        <v>1</v>
      </c>
      <c r="AI33" s="104"/>
      <c r="AJ33" s="104">
        <f t="shared" si="5"/>
        <v>6</v>
      </c>
      <c r="AK33" s="104">
        <v>2</v>
      </c>
      <c r="AL33" s="117">
        <v>1</v>
      </c>
      <c r="AM33" s="104">
        <v>1</v>
      </c>
      <c r="AN33" s="104"/>
      <c r="AO33" s="104">
        <f t="shared" si="6"/>
        <v>4</v>
      </c>
      <c r="AP33" s="102">
        <v>147937396</v>
      </c>
      <c r="AQ33" s="102">
        <v>100000000</v>
      </c>
      <c r="AR33" s="103">
        <v>48146561</v>
      </c>
      <c r="AS33" s="103">
        <v>0</v>
      </c>
      <c r="AT33" s="103">
        <f t="shared" si="7"/>
        <v>296083957</v>
      </c>
      <c r="AU33" s="103">
        <v>42372396</v>
      </c>
      <c r="AV33" s="103"/>
      <c r="AW33" s="103">
        <v>48146561</v>
      </c>
      <c r="AX33" s="103">
        <v>0</v>
      </c>
      <c r="AY33" s="102">
        <f t="shared" si="8"/>
        <v>90518957</v>
      </c>
      <c r="AZ33" s="101"/>
      <c r="BA33" s="101"/>
      <c r="BB33" s="100" t="s">
        <v>334</v>
      </c>
      <c r="BC33" s="148"/>
      <c r="BD33" s="144" t="s">
        <v>523</v>
      </c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  <c r="IR33" s="99"/>
      <c r="IS33" s="99"/>
      <c r="IT33" s="99"/>
      <c r="IU33" s="99"/>
      <c r="IV33" s="99"/>
    </row>
    <row r="34" spans="1:256" s="98" customFormat="1" ht="17.25" hidden="1" customHeight="1" x14ac:dyDescent="0.25">
      <c r="A34" s="108">
        <f>VLOOKUP(B34,[2]Hoja2!$B$47:$C$66,2,0)</f>
        <v>12</v>
      </c>
      <c r="B34" s="109" t="s">
        <v>49</v>
      </c>
      <c r="C34" s="108">
        <f>VLOOKUP(D34,[2]Hoja2!$B$8:$C$10,2,0)</f>
        <v>3</v>
      </c>
      <c r="D34" s="109" t="s">
        <v>8</v>
      </c>
      <c r="E34" s="108">
        <f>VLOOKUP(F34,[2]Hoja2!$B$12:$C$40,2,0)</f>
        <v>31</v>
      </c>
      <c r="F34" s="110" t="s">
        <v>35</v>
      </c>
      <c r="G34" s="108">
        <v>666</v>
      </c>
      <c r="H34" s="107" t="s">
        <v>341</v>
      </c>
      <c r="I34" s="108">
        <v>75</v>
      </c>
      <c r="J34" s="109" t="s">
        <v>342</v>
      </c>
      <c r="K34" s="108">
        <v>1076</v>
      </c>
      <c r="L34" s="109" t="s">
        <v>343</v>
      </c>
      <c r="M34" s="108">
        <v>1</v>
      </c>
      <c r="N34" s="107" t="s">
        <v>344</v>
      </c>
      <c r="O34" s="106">
        <v>100</v>
      </c>
      <c r="P34" s="110" t="s">
        <v>345</v>
      </c>
      <c r="Q34" s="110" t="s">
        <v>346</v>
      </c>
      <c r="R34" s="107" t="s">
        <v>379</v>
      </c>
      <c r="S34" s="107" t="s">
        <v>458</v>
      </c>
      <c r="T34" s="106" t="s">
        <v>271</v>
      </c>
      <c r="U34" s="105">
        <v>0.5</v>
      </c>
      <c r="V34" s="105">
        <f t="shared" si="0"/>
        <v>1</v>
      </c>
      <c r="W34" s="105">
        <f t="shared" si="1"/>
        <v>0.5</v>
      </c>
      <c r="X34" s="105">
        <f t="shared" si="2"/>
        <v>1</v>
      </c>
      <c r="Y34" s="105">
        <f t="shared" si="3"/>
        <v>0.5</v>
      </c>
      <c r="Z34" s="104">
        <v>9</v>
      </c>
      <c r="AA34" s="104">
        <v>100</v>
      </c>
      <c r="AB34" s="104">
        <v>100</v>
      </c>
      <c r="AC34" s="104">
        <v>100</v>
      </c>
      <c r="AD34" s="104">
        <v>100</v>
      </c>
      <c r="AE34" s="104">
        <f t="shared" si="4"/>
        <v>100</v>
      </c>
      <c r="AF34" s="104">
        <v>100</v>
      </c>
      <c r="AG34" s="104">
        <v>100</v>
      </c>
      <c r="AH34" s="104">
        <v>100</v>
      </c>
      <c r="AI34" s="104">
        <v>100</v>
      </c>
      <c r="AJ34" s="104">
        <f t="shared" si="5"/>
        <v>100</v>
      </c>
      <c r="AK34" s="104">
        <v>100</v>
      </c>
      <c r="AL34" s="117">
        <v>100</v>
      </c>
      <c r="AM34" s="104">
        <v>100</v>
      </c>
      <c r="AN34" s="104">
        <v>100</v>
      </c>
      <c r="AO34" s="104">
        <f t="shared" si="6"/>
        <v>100</v>
      </c>
      <c r="AP34" s="102">
        <v>503335722</v>
      </c>
      <c r="AQ34" s="102">
        <v>570506180</v>
      </c>
      <c r="AR34" s="103">
        <v>600223252</v>
      </c>
      <c r="AS34" s="150">
        <v>643822152</v>
      </c>
      <c r="AT34" s="150">
        <f t="shared" si="7"/>
        <v>2317887306</v>
      </c>
      <c r="AU34" s="150">
        <v>503335722</v>
      </c>
      <c r="AV34" s="150">
        <v>570506180</v>
      </c>
      <c r="AW34" s="150">
        <v>600223252</v>
      </c>
      <c r="AX34" s="150">
        <v>643822152</v>
      </c>
      <c r="AY34" s="102">
        <f t="shared" si="8"/>
        <v>2317887306</v>
      </c>
      <c r="AZ34" s="101"/>
      <c r="BA34" s="101"/>
      <c r="BB34" s="100" t="s">
        <v>228</v>
      </c>
      <c r="BC34" s="148"/>
      <c r="BD34" s="143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  <c r="IR34" s="99"/>
      <c r="IS34" s="99"/>
      <c r="IT34" s="99"/>
      <c r="IU34" s="99"/>
      <c r="IV34" s="99"/>
    </row>
    <row r="35" spans="1:256" s="98" customFormat="1" ht="17.100000000000001" hidden="1" customHeight="1" x14ac:dyDescent="0.25">
      <c r="A35" s="108">
        <f>VLOOKUP(B35,[2]Hoja2!$B$47:$C$66,2,0)</f>
        <v>12</v>
      </c>
      <c r="B35" s="109" t="s">
        <v>49</v>
      </c>
      <c r="C35" s="108">
        <f>VLOOKUP(D35,[2]Hoja2!$B$8:$C$10,2,0)</f>
        <v>3</v>
      </c>
      <c r="D35" s="109" t="s">
        <v>8</v>
      </c>
      <c r="E35" s="108">
        <f>VLOOKUP(F35,[2]Hoja2!$B$12:$C$40,2,0)</f>
        <v>31</v>
      </c>
      <c r="F35" s="110" t="s">
        <v>35</v>
      </c>
      <c r="G35" s="108">
        <v>666</v>
      </c>
      <c r="H35" s="110" t="s">
        <v>341</v>
      </c>
      <c r="I35" s="108">
        <v>76</v>
      </c>
      <c r="J35" s="109" t="s">
        <v>347</v>
      </c>
      <c r="K35" s="108">
        <v>1076</v>
      </c>
      <c r="L35" s="109" t="s">
        <v>343</v>
      </c>
      <c r="M35" s="108">
        <v>2</v>
      </c>
      <c r="N35" s="107" t="s">
        <v>344</v>
      </c>
      <c r="O35" s="106">
        <v>100</v>
      </c>
      <c r="P35" s="110" t="s">
        <v>345</v>
      </c>
      <c r="Q35" s="110" t="s">
        <v>348</v>
      </c>
      <c r="R35" s="107" t="s">
        <v>379</v>
      </c>
      <c r="S35" s="107" t="s">
        <v>458</v>
      </c>
      <c r="T35" s="106" t="s">
        <v>271</v>
      </c>
      <c r="U35" s="105">
        <v>0.5</v>
      </c>
      <c r="V35" s="105">
        <f t="shared" si="0"/>
        <v>1</v>
      </c>
      <c r="W35" s="105">
        <f t="shared" si="1"/>
        <v>0.5</v>
      </c>
      <c r="X35" s="105">
        <f t="shared" si="2"/>
        <v>1</v>
      </c>
      <c r="Y35" s="105">
        <f t="shared" si="3"/>
        <v>0.5</v>
      </c>
      <c r="Z35" s="104"/>
      <c r="AA35" s="104">
        <v>100</v>
      </c>
      <c r="AB35" s="104">
        <v>100</v>
      </c>
      <c r="AC35" s="104">
        <v>100</v>
      </c>
      <c r="AD35" s="104">
        <v>100</v>
      </c>
      <c r="AE35" s="104">
        <f t="shared" si="4"/>
        <v>100</v>
      </c>
      <c r="AF35" s="104">
        <v>100</v>
      </c>
      <c r="AG35" s="104">
        <v>100</v>
      </c>
      <c r="AH35" s="104">
        <v>100</v>
      </c>
      <c r="AI35" s="104">
        <v>100</v>
      </c>
      <c r="AJ35" s="104">
        <f t="shared" si="5"/>
        <v>100</v>
      </c>
      <c r="AK35" s="104">
        <v>100</v>
      </c>
      <c r="AL35" s="104">
        <v>100</v>
      </c>
      <c r="AM35" s="104">
        <v>100</v>
      </c>
      <c r="AN35" s="104">
        <v>100</v>
      </c>
      <c r="AO35" s="104">
        <f t="shared" si="6"/>
        <v>100</v>
      </c>
      <c r="AP35" s="102">
        <v>3033067935</v>
      </c>
      <c r="AQ35" s="102">
        <v>2312982599</v>
      </c>
      <c r="AR35" s="103">
        <v>2432949000</v>
      </c>
      <c r="AS35" s="150">
        <f>2335933278+6000000</f>
        <v>2341933278</v>
      </c>
      <c r="AT35" s="150">
        <f t="shared" si="7"/>
        <v>10120932812</v>
      </c>
      <c r="AU35" s="150">
        <v>1548825361</v>
      </c>
      <c r="AV35" s="150">
        <v>1694881799</v>
      </c>
      <c r="AW35" s="150">
        <v>1778689332</v>
      </c>
      <c r="AX35" s="150">
        <f>1415269198+6000000</f>
        <v>1421269198</v>
      </c>
      <c r="AY35" s="102">
        <f t="shared" si="8"/>
        <v>6443665690</v>
      </c>
      <c r="AZ35" s="101"/>
      <c r="BA35" s="101"/>
      <c r="BB35" s="100" t="s">
        <v>349</v>
      </c>
      <c r="BC35" s="148"/>
      <c r="BD35" s="143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  <c r="IR35" s="99"/>
      <c r="IS35" s="99"/>
      <c r="IT35" s="99"/>
      <c r="IU35" s="99"/>
      <c r="IV35" s="99"/>
    </row>
    <row r="36" spans="1:256" ht="11.1" customHeight="1" x14ac:dyDescent="0.25">
      <c r="AO36" s="97" t="s">
        <v>350</v>
      </c>
      <c r="AP36" s="97">
        <f>SUM(AP3:AP35)</f>
        <v>16041347858</v>
      </c>
      <c r="AQ36" s="97">
        <f>SUM(AQ3:AQ35)</f>
        <v>18539817160</v>
      </c>
      <c r="AR36" s="97">
        <f>SUM(AR3:AR35)</f>
        <v>16365539036</v>
      </c>
      <c r="AS36" s="157">
        <f>SUM(AS3:AS35)</f>
        <v>20982591241.799999</v>
      </c>
      <c r="AT36" s="157" t="s">
        <v>350</v>
      </c>
      <c r="AU36" s="157">
        <f>SUM(AU3:AU35)</f>
        <v>4082612473</v>
      </c>
      <c r="AV36" s="157">
        <f>SUM(AV3:AV35)</f>
        <v>4859206400</v>
      </c>
      <c r="AW36" s="157">
        <f>SUM(AW3:AW35)</f>
        <v>5692447938</v>
      </c>
      <c r="AX36" s="158">
        <f>SUM(AX3:AX35)</f>
        <v>10305444909</v>
      </c>
      <c r="AY36" s="157"/>
      <c r="AZ36" s="157"/>
      <c r="BA36" s="157"/>
      <c r="BB36" s="157"/>
      <c r="BC36" s="157"/>
    </row>
    <row r="37" spans="1:256" ht="11.1" customHeight="1" x14ac:dyDescent="0.25">
      <c r="AO37" s="97" t="s">
        <v>351</v>
      </c>
      <c r="AP37" s="97">
        <v>16041347858</v>
      </c>
      <c r="AQ37" s="97">
        <v>18539817160</v>
      </c>
      <c r="AR37" s="97">
        <v>16365539036</v>
      </c>
      <c r="AS37" s="88">
        <v>20982591242</v>
      </c>
      <c r="AT37" s="97" t="s">
        <v>351</v>
      </c>
      <c r="AU37" s="97">
        <v>4082612473</v>
      </c>
      <c r="AV37" s="97">
        <v>4859206400</v>
      </c>
      <c r="AW37" s="97">
        <v>5692447938</v>
      </c>
      <c r="AX37" s="88">
        <v>10305444909</v>
      </c>
    </row>
    <row r="38" spans="1:256" ht="11.1" customHeight="1" x14ac:dyDescent="0.25">
      <c r="AO38" s="97" t="s">
        <v>352</v>
      </c>
      <c r="AP38" s="97">
        <f>+AP36-AP37</f>
        <v>0</v>
      </c>
      <c r="AQ38" s="97">
        <f>+AQ37-AQ36</f>
        <v>0</v>
      </c>
      <c r="AR38" s="97">
        <f>+AR37-AR36</f>
        <v>0</v>
      </c>
      <c r="AS38" s="157"/>
      <c r="AT38" s="97" t="s">
        <v>352</v>
      </c>
      <c r="AU38" s="97">
        <f>+AU37-AU36</f>
        <v>0</v>
      </c>
      <c r="AV38" s="97">
        <f>+AV37-AV36</f>
        <v>0</v>
      </c>
      <c r="AW38" s="97">
        <f>+AW37-AW36</f>
        <v>0</v>
      </c>
      <c r="AX38" s="97"/>
    </row>
    <row r="39" spans="1:256" ht="11.1" customHeight="1" x14ac:dyDescent="0.25">
      <c r="AW39" s="97"/>
    </row>
    <row r="40" spans="1:256" x14ac:dyDescent="0.25">
      <c r="AW40" s="97"/>
    </row>
    <row r="41" spans="1:256" ht="15" x14ac:dyDescent="0.25">
      <c r="AN41" s="161"/>
    </row>
    <row r="42" spans="1:256" ht="15" x14ac:dyDescent="0.25">
      <c r="AN42" s="161"/>
    </row>
  </sheetData>
  <sheetProtection formatCells="0" formatColumns="0" formatRows="0" insertRows="0" autoFilter="0" pivotTables="0"/>
  <autoFilter ref="A2:BD38">
    <filterColumn colId="10">
      <filters blank="1">
        <filter val="1016"/>
        <filter val="1020"/>
        <filter val="1061"/>
        <filter val="1063"/>
        <filter val="1065"/>
        <filter val="1066"/>
        <filter val="1067"/>
        <filter val="1069"/>
        <filter val="1070"/>
        <filter val="1071"/>
        <filter val="1072"/>
        <filter val="1073"/>
        <filter val="1074"/>
        <filter val="1075"/>
      </filters>
    </filterColumn>
    <filterColumn colId="15">
      <filters blank="1">
        <filter val="acciones"/>
        <filter val="acciones de fortalecimiento a la justicia alternativa"/>
        <filter val="actividades lúdico pedagógicas"/>
        <filter val="campañas de difusión"/>
        <filter val="colegios  distritales de la localidad"/>
        <filter val="corredor"/>
        <filter val="dotación"/>
        <filter val="estrategia con enfoque en la renovación urbana"/>
        <filter val="eventos de rendición de cuentas"/>
        <filter val="ferias locales de servicios"/>
        <filter val="instancias de participación, organizaciones sociales y juntas de acción comunal"/>
        <filter val="instancias destinadas a la promoción, garantía y disfrute de los derechos de los niños, niñas y jóvenes de la localidad"/>
        <filter val="personas"/>
        <filter val="personas en condiciones de discapacidad"/>
        <filter val="proceso"/>
        <filter val="procesos"/>
        <filter val="procesos de presupuestos participativos"/>
        <filter val="ruta turistica"/>
      </filters>
    </filterColumn>
  </autoFilter>
  <dataConsolidate/>
  <mergeCells count="8">
    <mergeCell ref="A1:S1"/>
    <mergeCell ref="T1:Z1"/>
    <mergeCell ref="AZ1:BA1"/>
    <mergeCell ref="AA1:AE1"/>
    <mergeCell ref="AF1:AJ1"/>
    <mergeCell ref="AK1:AO1"/>
    <mergeCell ref="AU1:AY1"/>
    <mergeCell ref="AP1:AT1"/>
  </mergeCells>
  <dataValidations count="2">
    <dataValidation type="list" allowBlank="1" showInputMessage="1" showErrorMessage="1" sqref="B3:B35">
      <formula1>LOCALIDADES</formula1>
    </dataValidation>
    <dataValidation type="list" allowBlank="1" showInputMessage="1" showErrorMessage="1" sqref="D3:D35">
      <formula1>EJES</formula1>
    </dataValidation>
  </dataValidations>
  <pageMargins left="0.7" right="0.7" top="0.75" bottom="0.75" header="0.3" footer="0.3"/>
  <pageSetup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opLeftCell="E1" zoomScale="90" zoomScaleNormal="90" zoomScalePageLayoutView="90" workbookViewId="0">
      <pane ySplit="5" topLeftCell="A6" activePane="bottomLeft" state="frozen"/>
      <selection activeCell="A5" sqref="A5"/>
      <selection pane="bottomLeft" activeCell="G6" sqref="G6"/>
    </sheetView>
  </sheetViews>
  <sheetFormatPr baseColWidth="10" defaultColWidth="10.85546875" defaultRowHeight="15" x14ac:dyDescent="0.25"/>
  <cols>
    <col min="1" max="1" width="17.42578125" style="40" customWidth="1"/>
    <col min="2" max="2" width="37.140625" style="40" customWidth="1"/>
    <col min="3" max="3" width="14.28515625" style="73" customWidth="1"/>
    <col min="4" max="4" width="44.42578125" style="40" customWidth="1"/>
    <col min="5" max="5" width="10.85546875" style="40"/>
    <col min="6" max="6" width="15" style="40" customWidth="1"/>
    <col min="7" max="10" width="10.85546875" style="40"/>
    <col min="11" max="11" width="15.42578125" style="40" customWidth="1"/>
    <col min="12" max="12" width="11.42578125" style="40" customWidth="1"/>
    <col min="13" max="13" width="15.42578125" style="40" customWidth="1"/>
    <col min="14" max="18" width="17.28515625" style="40" customWidth="1"/>
    <col min="19" max="19" width="26.42578125" style="40" customWidth="1"/>
    <col min="20" max="16384" width="10.85546875" style="40"/>
  </cols>
  <sheetData>
    <row r="1" spans="1:19" ht="21" customHeight="1" x14ac:dyDescent="0.25">
      <c r="A1" s="173" t="s">
        <v>459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21" customHeight="1" x14ac:dyDescent="0.25">
      <c r="A2" s="173" t="s">
        <v>537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spans="1:19" ht="21" customHeight="1" x14ac:dyDescent="0.25">
      <c r="A3" s="173" t="s">
        <v>460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</row>
    <row r="4" spans="1:19" ht="83.25" customHeight="1" x14ac:dyDescent="0.25">
      <c r="A4" s="174" t="s">
        <v>461</v>
      </c>
      <c r="B4" s="174" t="s">
        <v>195</v>
      </c>
      <c r="C4" s="174" t="s">
        <v>462</v>
      </c>
      <c r="D4" s="174" t="s">
        <v>463</v>
      </c>
      <c r="E4" s="174" t="s">
        <v>464</v>
      </c>
      <c r="F4" s="174" t="s">
        <v>465</v>
      </c>
      <c r="G4" s="174" t="s">
        <v>466</v>
      </c>
      <c r="H4" s="174"/>
      <c r="I4" s="174"/>
      <c r="J4" s="174"/>
      <c r="K4" s="131" t="s">
        <v>467</v>
      </c>
      <c r="L4" s="131" t="s">
        <v>468</v>
      </c>
      <c r="M4" s="131" t="s">
        <v>467</v>
      </c>
      <c r="N4" s="131" t="s">
        <v>468</v>
      </c>
      <c r="O4" s="131" t="s">
        <v>467</v>
      </c>
      <c r="P4" s="131" t="s">
        <v>468</v>
      </c>
      <c r="Q4" s="152" t="s">
        <v>467</v>
      </c>
      <c r="R4" s="152" t="s">
        <v>468</v>
      </c>
      <c r="S4" s="174" t="s">
        <v>469</v>
      </c>
    </row>
    <row r="5" spans="1:19" x14ac:dyDescent="0.25">
      <c r="A5" s="174"/>
      <c r="B5" s="174" t="s">
        <v>195</v>
      </c>
      <c r="C5" s="174" t="s">
        <v>462</v>
      </c>
      <c r="D5" s="174" t="s">
        <v>463</v>
      </c>
      <c r="E5" s="174"/>
      <c r="F5" s="174" t="s">
        <v>470</v>
      </c>
      <c r="G5" s="132">
        <v>2013</v>
      </c>
      <c r="H5" s="132">
        <v>2014</v>
      </c>
      <c r="I5" s="132">
        <v>2015</v>
      </c>
      <c r="J5" s="132">
        <v>2016</v>
      </c>
      <c r="K5" s="132">
        <v>2013</v>
      </c>
      <c r="L5" s="132">
        <v>2013</v>
      </c>
      <c r="M5" s="132">
        <v>2014</v>
      </c>
      <c r="N5" s="132">
        <v>2014</v>
      </c>
      <c r="O5" s="132">
        <v>2015</v>
      </c>
      <c r="P5" s="132">
        <v>2015</v>
      </c>
      <c r="Q5" s="132">
        <v>2016</v>
      </c>
      <c r="R5" s="132">
        <v>2016</v>
      </c>
      <c r="S5" s="174"/>
    </row>
    <row r="6" spans="1:19" ht="39" customHeight="1" x14ac:dyDescent="0.25">
      <c r="A6" s="120" t="str">
        <f>+'Insumos PMR'!A5</f>
        <v>1. AMBIENTE</v>
      </c>
      <c r="B6" s="74" t="str">
        <f>+'Insumos PMR'!B5</f>
        <v xml:space="preserve">Manejo integral de residuos sólidos </v>
      </c>
      <c r="C6" s="120">
        <f>+'Insumos PMR'!C5</f>
        <v>58</v>
      </c>
      <c r="D6" s="74" t="str">
        <f>+'Insumos PMR'!D5</f>
        <v>Iniciativas ambientales y de aprovechamiento de residuos  apoyadas</v>
      </c>
      <c r="E6" s="120">
        <f>+'Insumos PMR'!E5</f>
        <v>0</v>
      </c>
      <c r="F6" s="75">
        <f>SUM(G6:J6)</f>
        <v>8</v>
      </c>
      <c r="G6" s="75">
        <f>+'Insumos PMR'!F5</f>
        <v>2</v>
      </c>
      <c r="H6" s="75">
        <f>+'Insumos PMR'!G5</f>
        <v>2</v>
      </c>
      <c r="I6" s="75">
        <f>+'Insumos PMR'!H5</f>
        <v>2</v>
      </c>
      <c r="J6" s="75">
        <f>+'Insumos PMR'!I5</f>
        <v>2</v>
      </c>
      <c r="K6" s="75">
        <f>+'Insumos PMR'!J5</f>
        <v>2</v>
      </c>
      <c r="L6" s="75">
        <f>+'Insumos PMR'!N5</f>
        <v>2</v>
      </c>
      <c r="M6" s="75">
        <f>+'Insumos PMR'!K5</f>
        <v>2</v>
      </c>
      <c r="N6" s="75">
        <f>+'Insumos PMR'!O5</f>
        <v>2</v>
      </c>
      <c r="O6" s="75">
        <f>+'Insumos PMR'!L5</f>
        <v>2</v>
      </c>
      <c r="P6" s="75">
        <f>+'Insumos PMR'!P5</f>
        <v>2</v>
      </c>
      <c r="Q6" s="75">
        <f>+'Insumos PMR'!M5</f>
        <v>1</v>
      </c>
      <c r="R6" s="75">
        <f>+'Insumos PMR'!Q5</f>
        <v>1</v>
      </c>
      <c r="S6" s="121"/>
    </row>
    <row r="7" spans="1:19" ht="30" x14ac:dyDescent="0.25">
      <c r="A7" s="169" t="str">
        <f>+'Insumos PMR'!A6</f>
        <v>10. SDIS</v>
      </c>
      <c r="B7" s="74" t="str">
        <f>+'Insumos PMR'!B6</f>
        <v>Adecuación , habilitación y dotación de jardines</v>
      </c>
      <c r="C7" s="120">
        <f>+'Insumos PMR'!C6</f>
        <v>2</v>
      </c>
      <c r="D7" s="74" t="str">
        <f>+'Insumos PMR'!D6</f>
        <v>Equipamientos para la atención a la primera infancia dotados</v>
      </c>
      <c r="E7" s="120">
        <f>+'Insumos PMR'!E6</f>
        <v>3</v>
      </c>
      <c r="F7" s="75">
        <f t="shared" ref="F7:F27" si="0">SUM(G7:J7)</f>
        <v>4</v>
      </c>
      <c r="G7" s="75">
        <f>+'Insumos PMR'!F6</f>
        <v>1</v>
      </c>
      <c r="H7" s="75">
        <f>+'Insumos PMR'!G6</f>
        <v>1</v>
      </c>
      <c r="I7" s="75">
        <f>+'Insumos PMR'!H6</f>
        <v>1</v>
      </c>
      <c r="J7" s="75">
        <f>+'Insumos PMR'!I6</f>
        <v>1</v>
      </c>
      <c r="K7" s="75">
        <f>+'Insumos PMR'!J6</f>
        <v>2</v>
      </c>
      <c r="L7" s="75">
        <f>+'Insumos PMR'!N6</f>
        <v>2</v>
      </c>
      <c r="M7" s="75">
        <f>+'Insumos PMR'!K6</f>
        <v>2</v>
      </c>
      <c r="N7" s="75">
        <f>+'Insumos PMR'!O6</f>
        <v>2</v>
      </c>
      <c r="O7" s="75">
        <f>+'Insumos PMR'!L6</f>
        <v>0</v>
      </c>
      <c r="P7" s="75">
        <f>+'Insumos PMR'!P6</f>
        <v>0</v>
      </c>
      <c r="Q7" s="75">
        <f>+'Insumos PMR'!M6</f>
        <v>0</v>
      </c>
      <c r="R7" s="75">
        <f>+'Insumos PMR'!Q6</f>
        <v>0</v>
      </c>
      <c r="S7" s="122"/>
    </row>
    <row r="8" spans="1:19" ht="45" x14ac:dyDescent="0.25">
      <c r="A8" s="170"/>
      <c r="B8" s="167" t="str">
        <f>+'Insumos PMR'!B7</f>
        <v>Protección  integral a personas y familias en situación de vulneración</v>
      </c>
      <c r="C8" s="120">
        <f>+'Insumos PMR'!C7</f>
        <v>16</v>
      </c>
      <c r="D8" s="74" t="str">
        <f>+'Insumos PMR'!D7</f>
        <v>Personas vinculadas a estrategias de prevencion de las violencias, violencia intrafamiliar y la discriminación</v>
      </c>
      <c r="E8" s="120">
        <f>+'Insumos PMR'!E7</f>
        <v>4695</v>
      </c>
      <c r="F8" s="75">
        <f t="shared" si="0"/>
        <v>4000</v>
      </c>
      <c r="G8" s="75">
        <f>+'Insumos PMR'!F7</f>
        <v>1000</v>
      </c>
      <c r="H8" s="75">
        <f>+'Insumos PMR'!G7</f>
        <v>1000</v>
      </c>
      <c r="I8" s="75">
        <f>+'Insumos PMR'!H7</f>
        <v>1000</v>
      </c>
      <c r="J8" s="75">
        <f>+'Insumos PMR'!I7</f>
        <v>1000</v>
      </c>
      <c r="K8" s="75">
        <f>+'Insumos PMR'!J7</f>
        <v>1360</v>
      </c>
      <c r="L8" s="75">
        <f>+'Insumos PMR'!N7</f>
        <v>1360</v>
      </c>
      <c r="M8" s="75">
        <f>+'Insumos PMR'!K7</f>
        <v>1200</v>
      </c>
      <c r="N8" s="75">
        <f>+'Insumos PMR'!O7</f>
        <v>1200</v>
      </c>
      <c r="O8" s="75">
        <f>+'Insumos PMR'!L7</f>
        <v>600</v>
      </c>
      <c r="P8" s="75">
        <f>+'Insumos PMR'!P7</f>
        <v>600</v>
      </c>
      <c r="Q8" s="75">
        <f>+'Insumos PMR'!M7</f>
        <v>1000</v>
      </c>
      <c r="R8" s="75">
        <f>+'Insumos PMR'!Q7</f>
        <v>0</v>
      </c>
      <c r="S8" s="122"/>
    </row>
    <row r="9" spans="1:19" x14ac:dyDescent="0.25">
      <c r="A9" s="170"/>
      <c r="B9" s="172"/>
      <c r="C9" s="120">
        <f>+'Insumos PMR'!C8</f>
        <v>18</v>
      </c>
      <c r="D9" s="74" t="str">
        <f>+'Insumos PMR'!D8</f>
        <v>Iniciativas juveniles apoyadas</v>
      </c>
      <c r="E9" s="120">
        <f>+'Insumos PMR'!E8</f>
        <v>3</v>
      </c>
      <c r="F9" s="75">
        <f t="shared" si="0"/>
        <v>24</v>
      </c>
      <c r="G9" s="75">
        <f>+'Insumos PMR'!F8</f>
        <v>11</v>
      </c>
      <c r="H9" s="75">
        <f>+'Insumos PMR'!G8</f>
        <v>6</v>
      </c>
      <c r="I9" s="75">
        <f>+'Insumos PMR'!H8</f>
        <v>6</v>
      </c>
      <c r="J9" s="75">
        <f>+'Insumos PMR'!I8</f>
        <v>1</v>
      </c>
      <c r="K9" s="75">
        <f>+'Insumos PMR'!J8</f>
        <v>19</v>
      </c>
      <c r="L9" s="75">
        <f>+'Insumos PMR'!N8</f>
        <v>19</v>
      </c>
      <c r="M9" s="75">
        <f>+'Insumos PMR'!K8</f>
        <v>6</v>
      </c>
      <c r="N9" s="75">
        <f>+'Insumos PMR'!O8</f>
        <v>6</v>
      </c>
      <c r="O9" s="75">
        <f>+'Insumos PMR'!L8</f>
        <v>0</v>
      </c>
      <c r="P9" s="75">
        <f>+'Insumos PMR'!P8</f>
        <v>0</v>
      </c>
      <c r="Q9" s="75">
        <f>+'Insumos PMR'!M8</f>
        <v>6</v>
      </c>
      <c r="R9" s="75">
        <f>+'Insumos PMR'!Q8</f>
        <v>6</v>
      </c>
      <c r="S9" s="122"/>
    </row>
    <row r="10" spans="1:19" x14ac:dyDescent="0.25">
      <c r="A10" s="171"/>
      <c r="B10" s="168"/>
      <c r="C10" s="120">
        <f>+'Insumos PMR'!C9</f>
        <v>19</v>
      </c>
      <c r="D10" s="74" t="str">
        <f>+'Insumos PMR'!D9</f>
        <v>Personas con subsidio tipo C  beneficiadas</v>
      </c>
      <c r="E10" s="120">
        <f>+'Insumos PMR'!E9</f>
        <v>930</v>
      </c>
      <c r="F10" s="75">
        <v>250</v>
      </c>
      <c r="G10" s="75">
        <f>+'Insumos PMR'!F9</f>
        <v>250</v>
      </c>
      <c r="H10" s="75">
        <f>+'Insumos PMR'!G9</f>
        <v>250</v>
      </c>
      <c r="I10" s="75">
        <f>+'Insumos PMR'!H9</f>
        <v>250</v>
      </c>
      <c r="J10" s="75">
        <f>+'Insumos PMR'!I9</f>
        <v>250</v>
      </c>
      <c r="K10" s="75">
        <f>+'Insumos PMR'!J9</f>
        <v>250</v>
      </c>
      <c r="L10" s="75">
        <f>+'Insumos PMR'!N9</f>
        <v>250</v>
      </c>
      <c r="M10" s="75">
        <f>+'Insumos PMR'!K9</f>
        <v>350</v>
      </c>
      <c r="N10" s="75">
        <f>+'Insumos PMR'!O9</f>
        <v>350</v>
      </c>
      <c r="O10" s="75">
        <f>+'Insumos PMR'!L9</f>
        <v>649</v>
      </c>
      <c r="P10" s="75">
        <f>+'Insumos PMR'!P9</f>
        <v>649</v>
      </c>
      <c r="Q10" s="75">
        <f>+'Insumos PMR'!M9</f>
        <v>650</v>
      </c>
      <c r="R10" s="75">
        <f>+'Insumos PMR'!Q9</f>
        <v>650</v>
      </c>
      <c r="S10" s="122"/>
    </row>
    <row r="11" spans="1:19" ht="27.95" customHeight="1" x14ac:dyDescent="0.25">
      <c r="A11" s="169" t="str">
        <f>+'Insumos PMR'!A10</f>
        <v>2. CULTURA Y RECREACIÓN</v>
      </c>
      <c r="B11" s="74" t="str">
        <f>+'Insumos PMR'!B10</f>
        <v>Espacios artísticos y culturales</v>
      </c>
      <c r="C11" s="120">
        <f>+'Insumos PMR'!C10</f>
        <v>24</v>
      </c>
      <c r="D11" s="74" t="str">
        <f>+'Insumos PMR'!D10</f>
        <v>Personas vinculadas a la oferta cultural</v>
      </c>
      <c r="E11" s="120">
        <f>+'Insumos PMR'!E10</f>
        <v>604</v>
      </c>
      <c r="F11" s="75">
        <f t="shared" si="0"/>
        <v>1400</v>
      </c>
      <c r="G11" s="75">
        <f>+'Insumos PMR'!F10</f>
        <v>350</v>
      </c>
      <c r="H11" s="75">
        <f>+'Insumos PMR'!G10</f>
        <v>350</v>
      </c>
      <c r="I11" s="75">
        <f>+'Insumos PMR'!H10</f>
        <v>350</v>
      </c>
      <c r="J11" s="75">
        <f>+'Insumos PMR'!I10</f>
        <v>350</v>
      </c>
      <c r="K11" s="75">
        <f>+'Insumos PMR'!J10</f>
        <v>350</v>
      </c>
      <c r="L11" s="75">
        <f>+'Insumos PMR'!N10</f>
        <v>350</v>
      </c>
      <c r="M11" s="75">
        <f>+'Insumos PMR'!K10</f>
        <v>350</v>
      </c>
      <c r="N11" s="75">
        <f>+'Insumos PMR'!O10</f>
        <v>520</v>
      </c>
      <c r="O11" s="75">
        <f>+'Insumos PMR'!L10</f>
        <v>390</v>
      </c>
      <c r="P11" s="75">
        <f>+'Insumos PMR'!P10</f>
        <v>390</v>
      </c>
      <c r="Q11" s="75">
        <f>+'Insumos PMR'!M10</f>
        <v>350</v>
      </c>
      <c r="R11" s="75">
        <f>+'Insumos PMR'!Q10</f>
        <v>0</v>
      </c>
      <c r="S11" s="122"/>
    </row>
    <row r="12" spans="1:19" ht="30" x14ac:dyDescent="0.25">
      <c r="A12" s="170"/>
      <c r="B12" s="74" t="str">
        <f>+'Insumos PMR'!B11</f>
        <v>Eventos y actividades recreativas y deportivas</v>
      </c>
      <c r="C12" s="120">
        <f>+'Insumos PMR'!C11</f>
        <v>32</v>
      </c>
      <c r="D12" s="74" t="str">
        <f>+'Insumos PMR'!D11</f>
        <v xml:space="preserve">Personas vinculadas a la oferta recreativa y deportiva </v>
      </c>
      <c r="E12" s="120">
        <f>+'Insumos PMR'!E11</f>
        <v>15230</v>
      </c>
      <c r="F12" s="75">
        <f t="shared" si="0"/>
        <v>12000</v>
      </c>
      <c r="G12" s="75">
        <f>+'Insumos PMR'!F11</f>
        <v>3000</v>
      </c>
      <c r="H12" s="75">
        <f>+'Insumos PMR'!G11</f>
        <v>3000</v>
      </c>
      <c r="I12" s="75">
        <f>+'Insumos PMR'!H11</f>
        <v>3000</v>
      </c>
      <c r="J12" s="75">
        <f>+'Insumos PMR'!I11</f>
        <v>3000</v>
      </c>
      <c r="K12" s="75">
        <f>+'Insumos PMR'!J11</f>
        <v>3904</v>
      </c>
      <c r="L12" s="75">
        <f>+'Insumos PMR'!N11</f>
        <v>3500</v>
      </c>
      <c r="M12" s="75">
        <f>+'Insumos PMR'!K11</f>
        <v>3000</v>
      </c>
      <c r="N12" s="75">
        <f>+'Insumos PMR'!O11</f>
        <v>3000</v>
      </c>
      <c r="O12" s="75">
        <f>+'Insumos PMR'!L11</f>
        <v>3000</v>
      </c>
      <c r="P12" s="75">
        <f>+'Insumos PMR'!P11</f>
        <v>3164</v>
      </c>
      <c r="Q12" s="75">
        <f>+'Insumos PMR'!M11</f>
        <v>800</v>
      </c>
      <c r="R12" s="75">
        <f>+'Insumos PMR'!Q11</f>
        <v>200</v>
      </c>
      <c r="S12" s="122"/>
    </row>
    <row r="13" spans="1:19" ht="27" customHeight="1" x14ac:dyDescent="0.25">
      <c r="A13" s="170"/>
      <c r="B13" s="74" t="str">
        <f>+'Insumos PMR'!B12</f>
        <v>Formación artística y cultural</v>
      </c>
      <c r="C13" s="120">
        <f>+'Insumos PMR'!C12</f>
        <v>25</v>
      </c>
      <c r="D13" s="74" t="str">
        <f>+'Insumos PMR'!D12</f>
        <v>Personas capacitadas en formación informal artística, cultural y del patrimonio</v>
      </c>
      <c r="E13" s="120">
        <f>+'Insumos PMR'!E12</f>
        <v>506</v>
      </c>
      <c r="F13" s="75">
        <f t="shared" si="0"/>
        <v>600</v>
      </c>
      <c r="G13" s="75">
        <f>+'Insumos PMR'!F12</f>
        <v>150</v>
      </c>
      <c r="H13" s="75">
        <f>+'Insumos PMR'!G12</f>
        <v>150</v>
      </c>
      <c r="I13" s="75">
        <f>+'Insumos PMR'!H12</f>
        <v>150</v>
      </c>
      <c r="J13" s="75">
        <f>+'Insumos PMR'!I12</f>
        <v>150</v>
      </c>
      <c r="K13" s="75">
        <f>+'Insumos PMR'!J12</f>
        <v>300</v>
      </c>
      <c r="L13" s="75">
        <f>+'Insumos PMR'!N12</f>
        <v>300</v>
      </c>
      <c r="M13" s="75">
        <f>+'Insumos PMR'!K12</f>
        <v>300</v>
      </c>
      <c r="N13" s="75">
        <f>+'Insumos PMR'!O12</f>
        <v>300</v>
      </c>
      <c r="O13" s="75">
        <f>+'Insumos PMR'!L12</f>
        <v>150</v>
      </c>
      <c r="P13" s="75">
        <f>+'Insumos PMR'!P12</f>
        <v>150</v>
      </c>
      <c r="Q13" s="75">
        <f>+'Insumos PMR'!M12</f>
        <v>150</v>
      </c>
      <c r="R13" s="75">
        <f>+'Insumos PMR'!Q12</f>
        <v>0</v>
      </c>
      <c r="S13" s="122"/>
    </row>
    <row r="14" spans="1:19" ht="33.75" customHeight="1" x14ac:dyDescent="0.25">
      <c r="A14" s="170"/>
      <c r="B14" s="74" t="str">
        <f>+'Insumos PMR'!B13</f>
        <v>Parques y escenarios deportivos</v>
      </c>
      <c r="C14" s="120">
        <f>+'Insumos PMR'!C13</f>
        <v>35</v>
      </c>
      <c r="D14" s="74" t="str">
        <f>+'Insumos PMR'!D13</f>
        <v xml:space="preserve">Parques vecinales y/o de bolsillo intervenidos </v>
      </c>
      <c r="E14" s="120">
        <f>+'Insumos PMR'!E13</f>
        <v>13</v>
      </c>
      <c r="F14" s="75">
        <f t="shared" si="0"/>
        <v>16</v>
      </c>
      <c r="G14" s="75">
        <f>+'Insumos PMR'!F13</f>
        <v>4</v>
      </c>
      <c r="H14" s="75">
        <f>+'Insumos PMR'!G13</f>
        <v>4</v>
      </c>
      <c r="I14" s="75">
        <f>+'Insumos PMR'!H13</f>
        <v>4</v>
      </c>
      <c r="J14" s="75">
        <f>+'Insumos PMR'!I13</f>
        <v>4</v>
      </c>
      <c r="K14" s="75">
        <f>+'Insumos PMR'!J13</f>
        <v>6</v>
      </c>
      <c r="L14" s="75">
        <f>+'Insumos PMR'!N13</f>
        <v>6</v>
      </c>
      <c r="M14" s="75">
        <f>+'Insumos PMR'!K13</f>
        <v>10</v>
      </c>
      <c r="N14" s="75">
        <f>+'Insumos PMR'!O13</f>
        <v>10</v>
      </c>
      <c r="O14" s="75">
        <f>+'Insumos PMR'!L13</f>
        <v>3</v>
      </c>
      <c r="P14" s="75">
        <f>+'Insumos PMR'!P13</f>
        <v>3</v>
      </c>
      <c r="Q14" s="75">
        <f>+'Insumos PMR'!M13</f>
        <v>0</v>
      </c>
      <c r="R14" s="75">
        <f>+'Insumos PMR'!Q13</f>
        <v>0</v>
      </c>
      <c r="S14" s="122"/>
    </row>
    <row r="15" spans="1:19" ht="54.75" customHeight="1" x14ac:dyDescent="0.25">
      <c r="A15" s="171"/>
      <c r="B15" s="74" t="str">
        <f>+'Insumos PMR'!B14</f>
        <v>Promoción turística y posicionamiento de la localidad como destino turístico</v>
      </c>
      <c r="C15" s="120">
        <f>+'Insumos PMR'!C14</f>
        <v>28</v>
      </c>
      <c r="D15" s="74" t="str">
        <f>+'Insumos PMR'!D14</f>
        <v>Corredores cuturales, y/o turisticos diseñados y/o intervenidos</v>
      </c>
      <c r="E15" s="120">
        <f>+'Insumos PMR'!E14</f>
        <v>0</v>
      </c>
      <c r="F15" s="75">
        <f t="shared" si="0"/>
        <v>8</v>
      </c>
      <c r="G15" s="75">
        <f>+'Insumos PMR'!F14</f>
        <v>2</v>
      </c>
      <c r="H15" s="75">
        <f>+'Insumos PMR'!G14</f>
        <v>2</v>
      </c>
      <c r="I15" s="75">
        <f>+'Insumos PMR'!H14</f>
        <v>2</v>
      </c>
      <c r="J15" s="75">
        <f>+'Insumos PMR'!I14</f>
        <v>2</v>
      </c>
      <c r="K15" s="75">
        <f>+'Insumos PMR'!J14</f>
        <v>2</v>
      </c>
      <c r="L15" s="75">
        <f>+'Insumos PMR'!N14</f>
        <v>2</v>
      </c>
      <c r="M15" s="75">
        <f>+'Insumos PMR'!K14</f>
        <v>2</v>
      </c>
      <c r="N15" s="75">
        <f>+'Insumos PMR'!O14</f>
        <v>2</v>
      </c>
      <c r="O15" s="75">
        <f>+'Insumos PMR'!L14</f>
        <v>2</v>
      </c>
      <c r="P15" s="75">
        <f>+'Insumos PMR'!P14</f>
        <v>2</v>
      </c>
      <c r="Q15" s="75">
        <f>+'Insumos PMR'!M14</f>
        <v>0</v>
      </c>
      <c r="R15" s="75">
        <f>+'Insumos PMR'!Q14</f>
        <v>0</v>
      </c>
      <c r="S15" s="122"/>
    </row>
    <row r="16" spans="1:19" ht="32.25" customHeight="1" x14ac:dyDescent="0.25">
      <c r="A16" s="120" t="str">
        <f>+'Insumos PMR'!A15</f>
        <v>4. EDUCACIÓN</v>
      </c>
      <c r="B16" s="74" t="str">
        <f>+'Insumos PMR'!B15</f>
        <v>Infraestructura y dotación escolar</v>
      </c>
      <c r="C16" s="120">
        <f>+'Insumos PMR'!C15</f>
        <v>7</v>
      </c>
      <c r="D16" s="74" t="str">
        <f>+'Insumos PMR'!D15</f>
        <v>Planteles educativos dotados</v>
      </c>
      <c r="E16" s="120">
        <f>+'Insumos PMR'!E15</f>
        <v>10</v>
      </c>
      <c r="F16" s="75">
        <f t="shared" si="0"/>
        <v>10</v>
      </c>
      <c r="G16" s="75">
        <f>+'Insumos PMR'!F15</f>
        <v>10</v>
      </c>
      <c r="H16" s="75">
        <f>+'Insumos PMR'!G15</f>
        <v>0</v>
      </c>
      <c r="I16" s="75">
        <f>+'Insumos PMR'!H15</f>
        <v>0</v>
      </c>
      <c r="J16" s="75">
        <f>+'Insumos PMR'!I15</f>
        <v>0</v>
      </c>
      <c r="K16" s="75">
        <f>+'Insumos PMR'!J15</f>
        <v>10</v>
      </c>
      <c r="L16" s="75">
        <f>+'Insumos PMR'!N15</f>
        <v>10</v>
      </c>
      <c r="M16" s="75">
        <f>+'Insumos PMR'!K15</f>
        <v>0</v>
      </c>
      <c r="N16" s="75">
        <f>+'Insumos PMR'!O15</f>
        <v>0</v>
      </c>
      <c r="O16" s="75">
        <f>+'Insumos PMR'!L15</f>
        <v>0</v>
      </c>
      <c r="P16" s="75">
        <f>+'Insumos PMR'!P15</f>
        <v>0</v>
      </c>
      <c r="Q16" s="75">
        <f>+'Insumos PMR'!M15</f>
        <v>0</v>
      </c>
      <c r="R16" s="75">
        <f>+'Insumos PMR'!Q15</f>
        <v>0</v>
      </c>
      <c r="S16" s="122"/>
    </row>
    <row r="17" spans="1:19" x14ac:dyDescent="0.25">
      <c r="A17" s="169" t="str">
        <f>+'Insumos PMR'!A16</f>
        <v xml:space="preserve">5. GOBIERNO </v>
      </c>
      <c r="B17" s="74" t="str">
        <f>+'Insumos PMR'!B16</f>
        <v>Espacios para el control social</v>
      </c>
      <c r="C17" s="120">
        <f>+'Insumos PMR'!C16</f>
        <v>72</v>
      </c>
      <c r="D17" s="74" t="str">
        <f>+'Insumos PMR'!D16</f>
        <v>Acciones realizadas para la rendición de cuentas</v>
      </c>
      <c r="E17" s="120">
        <f>+'Insumos PMR'!E16</f>
        <v>4</v>
      </c>
      <c r="F17" s="75">
        <f t="shared" si="0"/>
        <v>8</v>
      </c>
      <c r="G17" s="75">
        <f>+'Insumos PMR'!F16</f>
        <v>2</v>
      </c>
      <c r="H17" s="75">
        <f>+'Insumos PMR'!G16</f>
        <v>2</v>
      </c>
      <c r="I17" s="75">
        <f>+'Insumos PMR'!H16</f>
        <v>2</v>
      </c>
      <c r="J17" s="75">
        <f>+'Insumos PMR'!I16</f>
        <v>2</v>
      </c>
      <c r="K17" s="75">
        <f>+'Insumos PMR'!J16</f>
        <v>2</v>
      </c>
      <c r="L17" s="75">
        <f>+'Insumos PMR'!N16</f>
        <v>2</v>
      </c>
      <c r="M17" s="75">
        <f>+'Insumos PMR'!K16</f>
        <v>2</v>
      </c>
      <c r="N17" s="75">
        <f>+'Insumos PMR'!O16</f>
        <v>2</v>
      </c>
      <c r="O17" s="75">
        <f>+'Insumos PMR'!L16</f>
        <v>2</v>
      </c>
      <c r="P17" s="75">
        <f>+'Insumos PMR'!P16</f>
        <v>2</v>
      </c>
      <c r="Q17" s="75">
        <f>+'Insumos PMR'!M16</f>
        <v>0</v>
      </c>
      <c r="R17" s="75">
        <f>+'Insumos PMR'!Q16</f>
        <v>0</v>
      </c>
      <c r="S17" s="122"/>
    </row>
    <row r="18" spans="1:19" ht="30" x14ac:dyDescent="0.25">
      <c r="A18" s="170"/>
      <c r="B18" s="167" t="str">
        <f>+'Insumos PMR'!B17</f>
        <v xml:space="preserve">Espacios y procesos de participación ciudadana fortalecidos </v>
      </c>
      <c r="C18" s="120">
        <f>+'Insumos PMR'!C17</f>
        <v>61</v>
      </c>
      <c r="D18" s="74" t="str">
        <f>+'Insumos PMR'!D17</f>
        <v xml:space="preserve">Personas  vinculadas a procesos de presupestos participativos </v>
      </c>
      <c r="E18" s="120">
        <f>+'Insumos PMR'!E17</f>
        <v>2000</v>
      </c>
      <c r="F18" s="75">
        <f t="shared" si="0"/>
        <v>4</v>
      </c>
      <c r="G18" s="75">
        <f>+'Insumos PMR'!F17</f>
        <v>1</v>
      </c>
      <c r="H18" s="75">
        <f>+'Insumos PMR'!G17</f>
        <v>1</v>
      </c>
      <c r="I18" s="75">
        <f>+'Insumos PMR'!H17</f>
        <v>1</v>
      </c>
      <c r="J18" s="75">
        <f>+'Insumos PMR'!I17</f>
        <v>1</v>
      </c>
      <c r="K18" s="75">
        <f>+'Insumos PMR'!J17</f>
        <v>1</v>
      </c>
      <c r="L18" s="75">
        <f>+'Insumos PMR'!N17</f>
        <v>1</v>
      </c>
      <c r="M18" s="75">
        <f>+'Insumos PMR'!K17</f>
        <v>1</v>
      </c>
      <c r="N18" s="75">
        <f>+'Insumos PMR'!O17</f>
        <v>1</v>
      </c>
      <c r="O18" s="75">
        <f>+'Insumos PMR'!L17</f>
        <v>0</v>
      </c>
      <c r="P18" s="75">
        <f>+'Insumos PMR'!P17</f>
        <v>0</v>
      </c>
      <c r="Q18" s="75">
        <f>+'Insumos PMR'!M17</f>
        <v>1</v>
      </c>
      <c r="R18" s="75">
        <f>+'Insumos PMR'!Q17</f>
        <v>1</v>
      </c>
      <c r="S18" s="122" t="s">
        <v>471</v>
      </c>
    </row>
    <row r="19" spans="1:19" ht="30" x14ac:dyDescent="0.25">
      <c r="A19" s="170"/>
      <c r="B19" s="168"/>
      <c r="C19" s="120">
        <f>+'Insumos PMR'!C18</f>
        <v>65</v>
      </c>
      <c r="D19" s="74" t="str">
        <f>+'Insumos PMR'!D18</f>
        <v>Organizaciones sociales fortalecidas para la participación</v>
      </c>
      <c r="E19" s="120">
        <f>+'Insumos PMR'!E18</f>
        <v>36</v>
      </c>
      <c r="F19" s="75">
        <f t="shared" si="0"/>
        <v>24</v>
      </c>
      <c r="G19" s="75">
        <f>+'Insumos PMR'!F18</f>
        <v>11</v>
      </c>
      <c r="H19" s="75">
        <f>+'Insumos PMR'!G18</f>
        <v>6</v>
      </c>
      <c r="I19" s="75">
        <f>+'Insumos PMR'!H18</f>
        <v>6</v>
      </c>
      <c r="J19" s="75">
        <f>+'Insumos PMR'!I18</f>
        <v>1</v>
      </c>
      <c r="K19" s="75">
        <f>+'Insumos PMR'!J18</f>
        <v>26</v>
      </c>
      <c r="L19" s="75">
        <f>+'Insumos PMR'!N18</f>
        <v>26</v>
      </c>
      <c r="M19" s="75">
        <f>+'Insumos PMR'!K18</f>
        <v>7</v>
      </c>
      <c r="N19" s="75">
        <f>+'Insumos PMR'!O18</f>
        <v>2</v>
      </c>
      <c r="O19" s="75">
        <f>+'Insumos PMR'!L18</f>
        <v>6</v>
      </c>
      <c r="P19" s="75">
        <f>+'Insumos PMR'!P18</f>
        <v>6</v>
      </c>
      <c r="Q19" s="75">
        <f>+'Insumos PMR'!M18</f>
        <v>0</v>
      </c>
      <c r="R19" s="75">
        <f>+'Insumos PMR'!Q18</f>
        <v>0</v>
      </c>
      <c r="S19" s="122"/>
    </row>
    <row r="20" spans="1:19" ht="27.95" customHeight="1" x14ac:dyDescent="0.25">
      <c r="A20" s="170"/>
      <c r="B20" s="167" t="str">
        <f>+'Insumos PMR'!B19</f>
        <v>Fortalecimiento institucional</v>
      </c>
      <c r="C20" s="120">
        <f>+'Insumos PMR'!C19</f>
        <v>75</v>
      </c>
      <c r="D20" s="74" t="str">
        <f>+'Insumos PMR'!D19</f>
        <v>Ediles con pago de honorarios cubierto</v>
      </c>
      <c r="E20" s="120">
        <f>+'Insumos PMR'!E19</f>
        <v>9</v>
      </c>
      <c r="F20" s="75">
        <v>9</v>
      </c>
      <c r="G20" s="75">
        <v>9</v>
      </c>
      <c r="H20" s="75">
        <v>9</v>
      </c>
      <c r="I20" s="75">
        <v>9</v>
      </c>
      <c r="J20" s="75">
        <v>9</v>
      </c>
      <c r="K20" s="75">
        <v>9</v>
      </c>
      <c r="L20" s="75">
        <v>9</v>
      </c>
      <c r="M20" s="75">
        <v>9</v>
      </c>
      <c r="N20" s="75">
        <v>9</v>
      </c>
      <c r="O20" s="75">
        <v>9</v>
      </c>
      <c r="P20" s="75">
        <v>9</v>
      </c>
      <c r="Q20" s="75">
        <f>+'Insumos PMR'!M19</f>
        <v>100</v>
      </c>
      <c r="R20" s="75">
        <f>+'Insumos PMR'!Q19</f>
        <v>100</v>
      </c>
      <c r="S20" s="122"/>
    </row>
    <row r="21" spans="1:19" ht="30" x14ac:dyDescent="0.25">
      <c r="A21" s="170"/>
      <c r="B21" s="168"/>
      <c r="C21" s="120">
        <f>+'Insumos PMR'!C20</f>
        <v>76</v>
      </c>
      <c r="D21" s="74" t="str">
        <f>+'Insumos PMR'!D20</f>
        <v>Estrategias realizadas de fortalecimiento institucional</v>
      </c>
      <c r="E21" s="120">
        <f>+'Insumos PMR'!E20</f>
        <v>0</v>
      </c>
      <c r="F21" s="75">
        <f t="shared" si="0"/>
        <v>400</v>
      </c>
      <c r="G21" s="75">
        <f>+'Insumos PMR'!F20</f>
        <v>100</v>
      </c>
      <c r="H21" s="75">
        <f>+'Insumos PMR'!G20</f>
        <v>100</v>
      </c>
      <c r="I21" s="75">
        <f>+'Insumos PMR'!H20</f>
        <v>100</v>
      </c>
      <c r="J21" s="75">
        <f>+'Insumos PMR'!I20</f>
        <v>100</v>
      </c>
      <c r="K21" s="75">
        <f>+'Insumos PMR'!J20</f>
        <v>100</v>
      </c>
      <c r="L21" s="75">
        <f>+'Insumos PMR'!N20</f>
        <v>100</v>
      </c>
      <c r="M21" s="75">
        <f>+'Insumos PMR'!K20</f>
        <v>100</v>
      </c>
      <c r="N21" s="75">
        <f>+'Insumos PMR'!O20</f>
        <v>100</v>
      </c>
      <c r="O21" s="75">
        <f>+'Insumos PMR'!L20</f>
        <v>100</v>
      </c>
      <c r="P21" s="75">
        <f>+'Insumos PMR'!P20</f>
        <v>100</v>
      </c>
      <c r="Q21" s="75">
        <f>+'Insumos PMR'!M20</f>
        <v>100</v>
      </c>
      <c r="R21" s="75">
        <f>+'Insumos PMR'!Q20</f>
        <v>100</v>
      </c>
      <c r="S21" s="122" t="s">
        <v>504</v>
      </c>
    </row>
    <row r="22" spans="1:19" ht="30" x14ac:dyDescent="0.25">
      <c r="A22" s="170"/>
      <c r="B22" s="167" t="str">
        <f>+'Insumos PMR'!B21</f>
        <v>Gestión para la prevención y mitigación del riesgo</v>
      </c>
      <c r="C22" s="120">
        <f>+'Insumos PMR'!C21</f>
        <v>55</v>
      </c>
      <c r="D22" s="74" t="str">
        <f>+'Insumos PMR'!D21</f>
        <v>Habitantes sensibilizados en gestión local del riesgo</v>
      </c>
      <c r="E22" s="120">
        <f>+'Insumos PMR'!E21</f>
        <v>126</v>
      </c>
      <c r="F22" s="75">
        <f t="shared" si="0"/>
        <v>4</v>
      </c>
      <c r="G22" s="75">
        <f>+'Insumos PMR'!F21</f>
        <v>1</v>
      </c>
      <c r="H22" s="75">
        <f>+'Insumos PMR'!G21</f>
        <v>1</v>
      </c>
      <c r="I22" s="75">
        <f>+'Insumos PMR'!H21</f>
        <v>1</v>
      </c>
      <c r="J22" s="75">
        <f>+'Insumos PMR'!I21</f>
        <v>1</v>
      </c>
      <c r="K22" s="75">
        <f>+'Insumos PMR'!J21</f>
        <v>1</v>
      </c>
      <c r="L22" s="75">
        <f>+'Insumos PMR'!N21</f>
        <v>1</v>
      </c>
      <c r="M22" s="75">
        <f>+'Insumos PMR'!K21</f>
        <v>0</v>
      </c>
      <c r="N22" s="75">
        <f>+'Insumos PMR'!O21</f>
        <v>0</v>
      </c>
      <c r="O22" s="75">
        <f>+'Insumos PMR'!L21</f>
        <v>2</v>
      </c>
      <c r="P22" s="75">
        <f>+'Insumos PMR'!P21</f>
        <v>2</v>
      </c>
      <c r="Q22" s="75">
        <f>+'Insumos PMR'!M21</f>
        <v>1</v>
      </c>
      <c r="R22" s="75">
        <f>+'Insumos PMR'!Q21</f>
        <v>1</v>
      </c>
      <c r="S22" s="122"/>
    </row>
    <row r="23" spans="1:19" x14ac:dyDescent="0.25">
      <c r="A23" s="170"/>
      <c r="B23" s="168"/>
      <c r="C23" s="120">
        <f>+'Insumos PMR'!C22</f>
        <v>56</v>
      </c>
      <c r="D23" s="74" t="str">
        <f>+'Insumos PMR'!D22</f>
        <v xml:space="preserve">Dotaciones realizadas al CLE </v>
      </c>
      <c r="E23" s="120">
        <f>+'Insumos PMR'!E22</f>
        <v>2</v>
      </c>
      <c r="F23" s="75">
        <f t="shared" si="0"/>
        <v>1</v>
      </c>
      <c r="G23" s="75">
        <f>+'Insumos PMR'!F22</f>
        <v>0</v>
      </c>
      <c r="H23" s="75">
        <f>+'Insumos PMR'!G22</f>
        <v>0</v>
      </c>
      <c r="I23" s="75">
        <f>+'Insumos PMR'!H22</f>
        <v>1</v>
      </c>
      <c r="J23" s="75">
        <f>+'Insumos PMR'!I22</f>
        <v>0</v>
      </c>
      <c r="K23" s="75">
        <f>+'Insumos PMR'!J22</f>
        <v>0</v>
      </c>
      <c r="L23" s="75">
        <f>+'Insumos PMR'!N22</f>
        <v>0</v>
      </c>
      <c r="M23" s="75">
        <f>+'Insumos PMR'!K22</f>
        <v>0</v>
      </c>
      <c r="N23" s="75">
        <f>+'Insumos PMR'!O22</f>
        <v>0</v>
      </c>
      <c r="O23" s="75">
        <f>+'Insumos PMR'!L22</f>
        <v>1</v>
      </c>
      <c r="P23" s="75">
        <f>+'Insumos PMR'!P22</f>
        <v>1</v>
      </c>
      <c r="Q23" s="75">
        <f>+'Insumos PMR'!M22</f>
        <v>1</v>
      </c>
      <c r="R23" s="75">
        <f>+'Insumos PMR'!Q22</f>
        <v>1</v>
      </c>
      <c r="S23" s="123"/>
    </row>
    <row r="24" spans="1:19" ht="60" x14ac:dyDescent="0.25">
      <c r="A24" s="170"/>
      <c r="B24" s="74" t="str">
        <f>+'Insumos PMR'!B23</f>
        <v>Infraestructura para la atención de servicio al ciudadano</v>
      </c>
      <c r="C24" s="120">
        <f>+'Insumos PMR'!C23</f>
        <v>74</v>
      </c>
      <c r="D24" s="74" t="str">
        <f>+'Insumos PMR'!D23</f>
        <v>Personas vinculadas a  campañas de apoyo para mejorar la convivencia frente a las infracciones de control urbanístico y legal funcionamiento de los establecimientos de comercio</v>
      </c>
      <c r="E24" s="120">
        <f>+'Insumos PMR'!E23</f>
        <v>0</v>
      </c>
      <c r="F24" s="75">
        <v>9</v>
      </c>
      <c r="G24" s="75">
        <f>+'Insumos PMR'!F23</f>
        <v>1</v>
      </c>
      <c r="H24" s="75">
        <f>+'Insumos PMR'!G23</f>
        <v>1</v>
      </c>
      <c r="I24" s="75">
        <f>+'Insumos PMR'!H23</f>
        <v>1</v>
      </c>
      <c r="J24" s="75">
        <f>+'Insumos PMR'!I23</f>
        <v>1</v>
      </c>
      <c r="K24" s="75">
        <f>+'Insumos PMR'!J23</f>
        <v>1</v>
      </c>
      <c r="L24" s="75">
        <f>+'Insumos PMR'!N23</f>
        <v>1</v>
      </c>
      <c r="M24" s="75">
        <f>+'Insumos PMR'!K23</f>
        <v>1</v>
      </c>
      <c r="N24" s="75">
        <f>+'Insumos PMR'!O23</f>
        <v>1</v>
      </c>
      <c r="O24" s="75">
        <f>+'Insumos PMR'!L23</f>
        <v>4</v>
      </c>
      <c r="P24" s="75">
        <f>+'Insumos PMR'!P23</f>
        <v>4</v>
      </c>
      <c r="Q24" s="75">
        <f>+'Insumos PMR'!M23</f>
        <v>1</v>
      </c>
      <c r="R24" s="75">
        <f>+'Insumos PMR'!Q23</f>
        <v>1</v>
      </c>
      <c r="S24" s="122" t="s">
        <v>472</v>
      </c>
    </row>
    <row r="25" spans="1:19" ht="45" x14ac:dyDescent="0.25">
      <c r="A25" s="171"/>
      <c r="B25" s="74" t="str">
        <f>+'Insumos PMR'!B24</f>
        <v>Prevención, atención y gestión del conflicto en la localidad</v>
      </c>
      <c r="C25" s="120">
        <f>+'Insumos PMR'!C24</f>
        <v>69</v>
      </c>
      <c r="D25" s="74" t="str">
        <f>+'Insumos PMR'!D24</f>
        <v>Personas vinculadas a la promoción de espacios y/o campañas  para mejorar la convivencia y seguridad ciudadana</v>
      </c>
      <c r="E25" s="120">
        <f>+'Insumos PMR'!E24</f>
        <v>2500</v>
      </c>
      <c r="F25" s="75">
        <v>100</v>
      </c>
      <c r="G25" s="75">
        <f>+'Insumos PMR'!F24</f>
        <v>200</v>
      </c>
      <c r="H25" s="75">
        <f>+'Insumos PMR'!G24</f>
        <v>200</v>
      </c>
      <c r="I25" s="75">
        <f>+'Insumos PMR'!H24</f>
        <v>200</v>
      </c>
      <c r="J25" s="75">
        <f>+'Insumos PMR'!I24</f>
        <v>200</v>
      </c>
      <c r="K25" s="75">
        <f>+'Insumos PMR'!J24</f>
        <v>200</v>
      </c>
      <c r="L25" s="75">
        <f>+'Insumos PMR'!N24</f>
        <v>200</v>
      </c>
      <c r="M25" s="75">
        <f>+'Insumos PMR'!K24</f>
        <v>200</v>
      </c>
      <c r="N25" s="75">
        <f>+'Insumos PMR'!O24</f>
        <v>200</v>
      </c>
      <c r="O25" s="75">
        <f>+'Insumos PMR'!L24</f>
        <v>200</v>
      </c>
      <c r="P25" s="75">
        <f>+'Insumos PMR'!P24</f>
        <v>200</v>
      </c>
      <c r="Q25" s="75">
        <f>+'Insumos PMR'!M24</f>
        <v>200</v>
      </c>
      <c r="R25" s="75">
        <f>+'Insumos PMR'!Q24</f>
        <v>200</v>
      </c>
      <c r="S25" s="122"/>
    </row>
    <row r="26" spans="1:19" x14ac:dyDescent="0.25">
      <c r="A26" s="169" t="str">
        <f>+'Insumos PMR'!A25</f>
        <v>8. MOVILIDAD</v>
      </c>
      <c r="B26" s="74" t="str">
        <f>+'Insumos PMR'!B25</f>
        <v>Espacio Publico</v>
      </c>
      <c r="C26" s="120">
        <f>+'Insumos PMR'!C25</f>
        <v>51</v>
      </c>
      <c r="D26" s="74" t="str">
        <f>+'Insumos PMR'!D25</f>
        <v>m2 de espacio público recuperado</v>
      </c>
      <c r="E26" s="120">
        <f>+'Insumos PMR'!E25</f>
        <v>12820</v>
      </c>
      <c r="F26" s="75">
        <f t="shared" si="0"/>
        <v>20000</v>
      </c>
      <c r="G26" s="75">
        <f>+'Insumos PMR'!F25</f>
        <v>5000</v>
      </c>
      <c r="H26" s="75">
        <f>+'Insumos PMR'!G25</f>
        <v>5000</v>
      </c>
      <c r="I26" s="75">
        <f>+'Insumos PMR'!H25</f>
        <v>5000</v>
      </c>
      <c r="J26" s="75">
        <f>+'Insumos PMR'!I25</f>
        <v>5000</v>
      </c>
      <c r="K26" s="75">
        <f>+'Insumos PMR'!J25</f>
        <v>7773.26</v>
      </c>
      <c r="L26" s="75">
        <f>+'Insumos PMR'!N25</f>
        <v>7773.26</v>
      </c>
      <c r="M26" s="75">
        <f>+'Insumos PMR'!K25</f>
        <v>2113.25</v>
      </c>
      <c r="N26" s="75">
        <f>+'Insumos PMR'!O25</f>
        <v>9012</v>
      </c>
      <c r="O26" s="75">
        <f>+'Insumos PMR'!L25</f>
        <v>6534</v>
      </c>
      <c r="P26" s="75">
        <f>+'Insumos PMR'!P25</f>
        <v>5785.9</v>
      </c>
      <c r="Q26" s="75">
        <f>+'Insumos PMR'!M25</f>
        <v>10000</v>
      </c>
      <c r="R26" s="75">
        <f>+'Insumos PMR'!Q25</f>
        <v>0</v>
      </c>
      <c r="S26" s="122"/>
    </row>
    <row r="27" spans="1:19" x14ac:dyDescent="0.25">
      <c r="A27" s="171"/>
      <c r="B27" s="74" t="str">
        <f>+'Insumos PMR'!B26</f>
        <v>Vías Locales</v>
      </c>
      <c r="C27" s="120">
        <f>+'Insumos PMR'!C26</f>
        <v>46</v>
      </c>
      <c r="D27" s="74" t="str">
        <f>+'Insumos PMR'!D26</f>
        <v>Km/carril de malla vial local recuperados</v>
      </c>
      <c r="E27" s="120">
        <f>+'Insumos PMR'!E26</f>
        <v>31.1</v>
      </c>
      <c r="F27" s="75">
        <f t="shared" si="0"/>
        <v>70</v>
      </c>
      <c r="G27" s="75">
        <f>+'Insumos PMR'!F26</f>
        <v>17.5</v>
      </c>
      <c r="H27" s="75">
        <f>+'Insumos PMR'!G26</f>
        <v>17.5</v>
      </c>
      <c r="I27" s="75">
        <f>+'Insumos PMR'!H26</f>
        <v>17.5</v>
      </c>
      <c r="J27" s="75">
        <f>+'Insumos PMR'!I26</f>
        <v>17.5</v>
      </c>
      <c r="K27" s="75">
        <f>+'Insumos PMR'!J26</f>
        <v>17.5</v>
      </c>
      <c r="L27" s="75">
        <f>+'Insumos PMR'!N26</f>
        <v>17</v>
      </c>
      <c r="M27" s="75">
        <f>+'Insumos PMR'!K26</f>
        <v>18</v>
      </c>
      <c r="N27" s="75">
        <f>+'Insumos PMR'!O26</f>
        <v>17.989999999999998</v>
      </c>
      <c r="O27" s="75">
        <f>+'Insumos PMR'!L26</f>
        <v>11.61</v>
      </c>
      <c r="P27" s="75">
        <f>+'Insumos PMR'!P26</f>
        <v>4.0999999999999996</v>
      </c>
      <c r="Q27" s="75">
        <f>+'Insumos PMR'!M26</f>
        <v>10</v>
      </c>
      <c r="R27" s="75">
        <f>+'Insumos PMR'!Q26</f>
        <v>0</v>
      </c>
      <c r="S27" s="122"/>
    </row>
    <row r="28" spans="1:19" ht="30" x14ac:dyDescent="0.25">
      <c r="A28" s="169" t="str">
        <f>+'Insumos PMR'!A27</f>
        <v>9. SALUD</v>
      </c>
      <c r="B28" s="167" t="str">
        <f>+'Insumos PMR'!B27</f>
        <v>Promoción, prevención e intervención en salud</v>
      </c>
      <c r="C28" s="120">
        <f>+'Insumos PMR'!C27</f>
        <v>4</v>
      </c>
      <c r="D28" s="74" t="str">
        <f>+'Insumos PMR'!D27</f>
        <v xml:space="preserve">Personas vinculadas a acciones de promoción y prevención en salud </v>
      </c>
      <c r="E28" s="120">
        <f>+'Insumos PMR'!E27</f>
        <v>5996</v>
      </c>
      <c r="F28" s="75">
        <f>SUM(G28:J28)</f>
        <v>4400</v>
      </c>
      <c r="G28" s="75">
        <f>+'Insumos PMR'!F27</f>
        <v>1100</v>
      </c>
      <c r="H28" s="75">
        <f>+'Insumos PMR'!G27</f>
        <v>1100</v>
      </c>
      <c r="I28" s="75">
        <f>+'Insumos PMR'!H27</f>
        <v>1100</v>
      </c>
      <c r="J28" s="75">
        <f>+'Insumos PMR'!I27</f>
        <v>1100</v>
      </c>
      <c r="K28" s="75">
        <f>+'Insumos PMR'!J27</f>
        <v>1200</v>
      </c>
      <c r="L28" s="75">
        <f>+'Insumos PMR'!N27</f>
        <v>1250</v>
      </c>
      <c r="M28" s="75">
        <f>+'Insumos PMR'!K27</f>
        <v>0</v>
      </c>
      <c r="N28" s="75">
        <f>+'Insumos PMR'!O27</f>
        <v>0</v>
      </c>
      <c r="O28" s="75">
        <f>+'Insumos PMR'!L27</f>
        <v>200</v>
      </c>
      <c r="P28" s="75">
        <f>+'Insumos PMR'!P27</f>
        <v>137</v>
      </c>
      <c r="Q28" s="75">
        <f>+'Insumos PMR'!M27</f>
        <v>10500</v>
      </c>
      <c r="R28" s="75">
        <f>+'Insumos PMR'!Q27</f>
        <v>0</v>
      </c>
      <c r="S28" s="123"/>
    </row>
    <row r="29" spans="1:19" ht="27.95" customHeight="1" x14ac:dyDescent="0.25">
      <c r="A29" s="171"/>
      <c r="B29" s="168"/>
      <c r="C29" s="120">
        <f>+'Insumos PMR'!C28</f>
        <v>5</v>
      </c>
      <c r="D29" s="74" t="str">
        <f>+'Insumos PMR'!D28</f>
        <v>Personas benficiadas con ayudas técnicas</v>
      </c>
      <c r="E29" s="120">
        <f>+'Insumos PMR'!E28</f>
        <v>244</v>
      </c>
      <c r="F29" s="75">
        <f>SUM(G29:J29)</f>
        <v>400</v>
      </c>
      <c r="G29" s="75">
        <f>+'Insumos PMR'!F28</f>
        <v>100</v>
      </c>
      <c r="H29" s="75">
        <f>+'Insumos PMR'!G28</f>
        <v>100</v>
      </c>
      <c r="I29" s="75">
        <f>+'Insumos PMR'!H28</f>
        <v>100</v>
      </c>
      <c r="J29" s="75">
        <f>+'Insumos PMR'!I28</f>
        <v>100</v>
      </c>
      <c r="K29" s="75">
        <f>+'Insumos PMR'!J28</f>
        <v>100</v>
      </c>
      <c r="L29" s="75">
        <f>+'Insumos PMR'!N28</f>
        <v>100</v>
      </c>
      <c r="M29" s="75">
        <f>+'Insumos PMR'!K28</f>
        <v>70</v>
      </c>
      <c r="N29" s="75">
        <f>+'Insumos PMR'!O28</f>
        <v>100</v>
      </c>
      <c r="O29" s="75">
        <f>+'Insumos PMR'!L28</f>
        <v>50</v>
      </c>
      <c r="P29" s="75">
        <f>+'Insumos PMR'!P28</f>
        <v>50</v>
      </c>
      <c r="Q29" s="75">
        <f>+'Insumos PMR'!M28</f>
        <v>0</v>
      </c>
      <c r="R29" s="75">
        <f>+'Insumos PMR'!Q28</f>
        <v>0</v>
      </c>
      <c r="S29" s="123"/>
    </row>
  </sheetData>
  <sheetProtection selectLockedCells="1" selectUnlockedCells="1"/>
  <mergeCells count="21">
    <mergeCell ref="A1:S1"/>
    <mergeCell ref="A2:S2"/>
    <mergeCell ref="A3:S3"/>
    <mergeCell ref="A4:A5"/>
    <mergeCell ref="B4:B5"/>
    <mergeCell ref="C4:C5"/>
    <mergeCell ref="D4:D5"/>
    <mergeCell ref="E4:E5"/>
    <mergeCell ref="F4:F5"/>
    <mergeCell ref="S4:S5"/>
    <mergeCell ref="G4:J4"/>
    <mergeCell ref="B28:B29"/>
    <mergeCell ref="A11:A15"/>
    <mergeCell ref="A17:A25"/>
    <mergeCell ref="A26:A27"/>
    <mergeCell ref="A7:A10"/>
    <mergeCell ref="A28:A29"/>
    <mergeCell ref="B8:B10"/>
    <mergeCell ref="B18:B19"/>
    <mergeCell ref="B20:B21"/>
    <mergeCell ref="B22:B23"/>
  </mergeCells>
  <pageMargins left="0.7" right="0.7" top="0.75" bottom="0.75" header="0.51180555555555551" footer="0.5118055555555555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0"/>
  <sheetViews>
    <sheetView topLeftCell="J1" zoomScale="80" zoomScaleNormal="80" zoomScalePageLayoutView="80" workbookViewId="0">
      <selection activeCell="R2" sqref="R2"/>
    </sheetView>
  </sheetViews>
  <sheetFormatPr baseColWidth="10" defaultColWidth="10.85546875" defaultRowHeight="12.75" x14ac:dyDescent="0.25"/>
  <cols>
    <col min="1" max="2" width="10.85546875" style="76"/>
    <col min="3" max="3" width="10.85546875" style="77"/>
    <col min="4" max="4" width="58.7109375" style="77" customWidth="1"/>
    <col min="5" max="5" width="19" style="77" customWidth="1"/>
    <col min="6" max="6" width="19.140625" style="77" customWidth="1"/>
    <col min="7" max="7" width="17.140625" style="77" customWidth="1"/>
    <col min="8" max="8" width="20.85546875" style="77" customWidth="1"/>
    <col min="9" max="9" width="10.85546875" style="77" customWidth="1"/>
    <col min="10" max="10" width="12" style="77" customWidth="1"/>
    <col min="11" max="11" width="10.85546875" style="77" customWidth="1"/>
    <col min="12" max="12" width="15.28515625" style="77" customWidth="1"/>
    <col min="13" max="13" width="16.42578125" style="77" customWidth="1"/>
    <col min="14" max="15" width="10.85546875" style="77"/>
    <col min="16" max="16" width="10.85546875" style="77" customWidth="1"/>
    <col min="17" max="17" width="15" style="77" customWidth="1"/>
    <col min="18" max="18" width="16.28515625" style="77" customWidth="1"/>
    <col min="19" max="60" width="10.85546875" style="127"/>
    <col min="61" max="16384" width="10.85546875" style="77"/>
  </cols>
  <sheetData>
    <row r="1" spans="1:60" s="78" customFormat="1" ht="78" customHeight="1" x14ac:dyDescent="0.25">
      <c r="A1" s="129" t="s">
        <v>473</v>
      </c>
      <c r="B1" s="129" t="s">
        <v>474</v>
      </c>
      <c r="C1" s="129" t="s">
        <v>475</v>
      </c>
      <c r="D1" s="129" t="s">
        <v>184</v>
      </c>
      <c r="E1" s="130" t="s">
        <v>476</v>
      </c>
      <c r="F1" s="129" t="s">
        <v>477</v>
      </c>
      <c r="G1" s="128" t="s">
        <v>478</v>
      </c>
      <c r="H1" s="129" t="s">
        <v>479</v>
      </c>
      <c r="I1" s="129" t="s">
        <v>473</v>
      </c>
      <c r="J1" s="129" t="s">
        <v>474</v>
      </c>
      <c r="K1" s="129" t="s">
        <v>480</v>
      </c>
      <c r="L1" s="128" t="s">
        <v>481</v>
      </c>
      <c r="M1" s="129" t="s">
        <v>482</v>
      </c>
      <c r="N1" s="129" t="s">
        <v>473</v>
      </c>
      <c r="O1" s="129" t="s">
        <v>483</v>
      </c>
      <c r="P1" s="128" t="s">
        <v>484</v>
      </c>
      <c r="Q1" s="129" t="s">
        <v>485</v>
      </c>
      <c r="R1" s="129" t="s">
        <v>486</v>
      </c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</row>
    <row r="2" spans="1:60" ht="51" x14ac:dyDescent="0.25">
      <c r="A2" s="79">
        <f>+'Insumos APC APR'!A5</f>
        <v>1</v>
      </c>
      <c r="B2" s="79">
        <f>+'Insumos APC APR'!B5</f>
        <v>1</v>
      </c>
      <c r="C2" s="79">
        <f>+'Insumos APC APR'!C5</f>
        <v>638</v>
      </c>
      <c r="D2" s="80" t="str">
        <f>+'Insumos APC APR'!D5</f>
        <v>Realizar cuatro (4) Acciones de intervención (adecuación, remodelación y dotación) en equipamientos de los espacios destinados o con vocación para la atención integral a la primera infancia en la localidad durante la vigencia del plan.</v>
      </c>
      <c r="E2" s="81">
        <f>+'Insumos APC APR'!E5</f>
        <v>1</v>
      </c>
      <c r="F2" s="79" t="str">
        <f t="shared" ref="F2:F30" si="0">IF(E2&lt;=0.3,"Bajo",IF(E2&lt;0.7,"Medio",IF(E2&gt;=0.7,"Alto")))</f>
        <v>Alto</v>
      </c>
      <c r="G2" s="82">
        <v>0.62</v>
      </c>
      <c r="H2" s="83">
        <f>IF(E2*G2&gt;G2,G2,G2*E2)</f>
        <v>0.62</v>
      </c>
      <c r="I2" s="79">
        <v>1</v>
      </c>
      <c r="J2" s="79">
        <v>1</v>
      </c>
      <c r="K2" s="83">
        <f>SUMIF($B$2:$B$194,J2,$H$2:$H$194)</f>
        <v>1</v>
      </c>
      <c r="L2" s="83">
        <v>0.17330677290836655</v>
      </c>
      <c r="M2" s="83">
        <f t="shared" ref="M2:M15" si="1">+L2*K2</f>
        <v>0.17330677290836655</v>
      </c>
      <c r="N2" s="84">
        <v>1</v>
      </c>
      <c r="O2" s="141">
        <f>SUMIF($I$2:$I$194,N2,$M$2:$M$194)</f>
        <v>0.99421705179282882</v>
      </c>
      <c r="P2" s="83">
        <v>0.36115107913669059</v>
      </c>
      <c r="Q2" s="85">
        <f>+O2*P2</f>
        <v>0.35906256115107915</v>
      </c>
      <c r="R2" s="86">
        <f>SUM(Q2:Q4)</f>
        <v>0.9710624008221993</v>
      </c>
    </row>
    <row r="3" spans="1:60" ht="30.75" customHeight="1" x14ac:dyDescent="0.25">
      <c r="A3" s="79">
        <v>1</v>
      </c>
      <c r="B3" s="125">
        <v>1</v>
      </c>
      <c r="C3" s="125">
        <f>+'Insumos APC APR'!C6</f>
        <v>639</v>
      </c>
      <c r="D3" s="124" t="str">
        <f>+'Insumos APC APR'!D6</f>
        <v>Realizar cuatro (4) actividades lúdico-pedagógicas durante la vigencia del Plan</v>
      </c>
      <c r="E3" s="81">
        <f>+'Insumos APC APR'!E6</f>
        <v>1.75</v>
      </c>
      <c r="F3" s="79" t="str">
        <f t="shared" si="0"/>
        <v>Alto</v>
      </c>
      <c r="G3" s="82">
        <v>0.38</v>
      </c>
      <c r="H3" s="83">
        <f t="shared" ref="H3:H30" si="2">IF(E3*G3&gt;G3,G3,G3*E3)</f>
        <v>0.38</v>
      </c>
      <c r="I3" s="79">
        <v>1</v>
      </c>
      <c r="J3" s="79">
        <v>2</v>
      </c>
      <c r="K3" s="83">
        <f t="shared" ref="K3:K15" si="3">SUMIF($B$2:$B$194,J3,$H$2:$H$194)</f>
        <v>1</v>
      </c>
      <c r="L3" s="83">
        <v>0.20318725099601595</v>
      </c>
      <c r="M3" s="83">
        <f t="shared" si="1"/>
        <v>0.20318725099601595</v>
      </c>
      <c r="N3" s="84">
        <v>2</v>
      </c>
      <c r="O3" s="141">
        <f>SUMIF($I$2:$I$194,N3,$M$2:$M$194)</f>
        <v>0.97301470129870127</v>
      </c>
      <c r="P3" s="83">
        <v>0.35611510791366902</v>
      </c>
      <c r="Q3" s="85">
        <f>+O3*P3</f>
        <v>0.34650523535457345</v>
      </c>
    </row>
    <row r="4" spans="1:60" ht="38.25" x14ac:dyDescent="0.25">
      <c r="A4" s="79">
        <v>1</v>
      </c>
      <c r="B4" s="125">
        <f>+'Insumos APC APR'!B7</f>
        <v>2</v>
      </c>
      <c r="C4" s="125">
        <f>+'Insumos APC APR'!C7</f>
        <v>640</v>
      </c>
      <c r="D4" s="124" t="str">
        <f>+'Insumos APC APR'!D7</f>
        <v>Vincular a cuatro mil ochocientas (4.800) personas de todos los grupos poblacionales, ciclo vital y enfoque diferencial mediante acciones de promoción de salud durante la vigencia del plan.</v>
      </c>
      <c r="E4" s="81">
        <f>+'Insumos APC APR'!E7</f>
        <v>1.7350000000000001</v>
      </c>
      <c r="F4" s="79" t="str">
        <f t="shared" si="0"/>
        <v>Alto</v>
      </c>
      <c r="G4" s="82">
        <v>1</v>
      </c>
      <c r="H4" s="83">
        <f t="shared" si="2"/>
        <v>1</v>
      </c>
      <c r="I4" s="79">
        <v>1</v>
      </c>
      <c r="J4" s="79">
        <v>3</v>
      </c>
      <c r="K4" s="141">
        <f>SUMIF($B$2:$B$194,J4,$H$2:$H$194)</f>
        <v>1</v>
      </c>
      <c r="L4" s="83">
        <v>0.17330677290836655</v>
      </c>
      <c r="M4" s="83">
        <f t="shared" si="1"/>
        <v>0.17330677290836655</v>
      </c>
      <c r="N4" s="84">
        <v>3</v>
      </c>
      <c r="O4" s="141">
        <f>SUMIF($I$2:$I$194,N4,$M$2:$M$194)</f>
        <v>0.93902671755725176</v>
      </c>
      <c r="P4" s="83">
        <v>0.28273381294964028</v>
      </c>
      <c r="Q4" s="85">
        <f>+O4*P4</f>
        <v>0.2654946043165467</v>
      </c>
    </row>
    <row r="5" spans="1:60" ht="38.25" x14ac:dyDescent="0.25">
      <c r="A5" s="79">
        <v>1</v>
      </c>
      <c r="B5" s="125">
        <f>+'Insumos APC APR'!B8</f>
        <v>3</v>
      </c>
      <c r="C5" s="125">
        <f>+'Insumos APC APR'!C8</f>
        <v>641</v>
      </c>
      <c r="D5" s="124" t="str">
        <f>+'Insumos APC APR'!D8</f>
        <v>Dotar a diez (10) instituciones educativas distritales de la localidad con elementos pedagógicos y/o medios educativos durante la vigencia del plan</v>
      </c>
      <c r="E5" s="81">
        <f>+'Insumos APC APR'!E8</f>
        <v>1</v>
      </c>
      <c r="F5" s="79" t="str">
        <f t="shared" si="0"/>
        <v>Alto</v>
      </c>
      <c r="G5" s="82">
        <v>0.38</v>
      </c>
      <c r="H5" s="83">
        <f t="shared" si="2"/>
        <v>0.38</v>
      </c>
      <c r="I5" s="79">
        <v>1</v>
      </c>
      <c r="J5" s="79">
        <v>5</v>
      </c>
      <c r="K5" s="142">
        <f>SUMIF($B$2:$B$194,J5,$H$2:$H$194)</f>
        <v>1</v>
      </c>
      <c r="L5" s="83">
        <v>0.16334661354581675</v>
      </c>
      <c r="M5" s="83">
        <f t="shared" si="1"/>
        <v>0.16334661354581675</v>
      </c>
    </row>
    <row r="6" spans="1:60" ht="38.25" x14ac:dyDescent="0.25">
      <c r="A6" s="79">
        <v>1</v>
      </c>
      <c r="B6" s="125">
        <v>3</v>
      </c>
      <c r="C6" s="125">
        <f>+'Insumos APC APR'!C9</f>
        <v>642</v>
      </c>
      <c r="D6" s="124" t="str">
        <f>+'Insumos APC APR'!D9</f>
        <v>Fortalecer veinte (20) instancias destinadas a la promoción, garantía y disfrute de los derechos de los jóvenes de la localidad durante la vigencia del plan.</v>
      </c>
      <c r="E6" s="81">
        <f>+'Insumos APC APR'!E9</f>
        <v>1.1000000000000001</v>
      </c>
      <c r="F6" s="79" t="str">
        <f t="shared" si="0"/>
        <v>Alto</v>
      </c>
      <c r="G6" s="82">
        <v>0.62</v>
      </c>
      <c r="H6" s="83">
        <f t="shared" si="2"/>
        <v>0.62</v>
      </c>
      <c r="I6" s="79">
        <v>1</v>
      </c>
      <c r="J6" s="79">
        <v>7</v>
      </c>
      <c r="K6" s="142">
        <f t="shared" si="3"/>
        <v>1</v>
      </c>
      <c r="L6" s="83">
        <v>0.11952191235059763</v>
      </c>
      <c r="M6" s="83">
        <f t="shared" si="1"/>
        <v>0.11952191235059763</v>
      </c>
    </row>
    <row r="7" spans="1:60" ht="38.25" x14ac:dyDescent="0.25">
      <c r="A7" s="79">
        <v>1</v>
      </c>
      <c r="B7" s="125">
        <f>+'Insumos APC APR'!B10</f>
        <v>5</v>
      </c>
      <c r="C7" s="125">
        <f>+'Insumos APC APR'!C10</f>
        <v>643</v>
      </c>
      <c r="D7" s="124" t="str">
        <f>+'Insumos APC APR'!D10</f>
        <v>Vincular a cuatro mil (4000) personas pertenecientes a todos los grupos poblacionales, en acciones de prevención contra los distintos tipos de discriminación y violencias durante la vigencia del plan.</v>
      </c>
      <c r="E7" s="81">
        <f>+'Insumos APC APR'!E10</f>
        <v>1.04</v>
      </c>
      <c r="F7" s="79" t="str">
        <f t="shared" si="0"/>
        <v>Alto</v>
      </c>
      <c r="G7" s="82">
        <v>0.32</v>
      </c>
      <c r="H7" s="83">
        <f t="shared" si="2"/>
        <v>0.32</v>
      </c>
      <c r="I7" s="79">
        <v>1</v>
      </c>
      <c r="J7" s="79">
        <v>8</v>
      </c>
      <c r="K7" s="142">
        <f t="shared" si="3"/>
        <v>0.96544000000000008</v>
      </c>
      <c r="L7" s="83">
        <v>0.16733067729083667</v>
      </c>
      <c r="M7" s="83">
        <f t="shared" si="1"/>
        <v>0.16154772908366538</v>
      </c>
    </row>
    <row r="8" spans="1:60" ht="38.25" x14ac:dyDescent="0.25">
      <c r="A8" s="79">
        <v>1</v>
      </c>
      <c r="B8" s="125">
        <v>5</v>
      </c>
      <c r="C8" s="125">
        <f>+'Insumos APC APR'!C11</f>
        <v>644</v>
      </c>
      <c r="D8" s="124" t="str">
        <f>+'Insumos APC APR'!D11</f>
        <v>Beneficiar a por lo menos 1000 personas mayores en condición de vulnerabilidad mediante la entrega de subsidios económicos durante la vigencia del plan</v>
      </c>
      <c r="E8" s="81">
        <f>+'Insumos APC APR'!E11</f>
        <v>1.899</v>
      </c>
      <c r="F8" s="79" t="str">
        <f t="shared" si="0"/>
        <v>Alto</v>
      </c>
      <c r="G8" s="82">
        <v>0.24</v>
      </c>
      <c r="H8" s="83">
        <f t="shared" si="2"/>
        <v>0.24</v>
      </c>
      <c r="I8" s="79">
        <v>2</v>
      </c>
      <c r="J8" s="79">
        <v>17</v>
      </c>
      <c r="K8" s="142">
        <f t="shared" si="3"/>
        <v>1</v>
      </c>
      <c r="L8" s="83">
        <v>0.23636363636363636</v>
      </c>
      <c r="M8" s="83">
        <f t="shared" si="1"/>
        <v>0.23636363636363636</v>
      </c>
    </row>
    <row r="9" spans="1:60" ht="38.25" x14ac:dyDescent="0.25">
      <c r="A9" s="79">
        <v>1</v>
      </c>
      <c r="B9" s="125">
        <v>5</v>
      </c>
      <c r="C9" s="125">
        <f>+'Insumos APC APR'!C12</f>
        <v>645</v>
      </c>
      <c r="D9" s="124" t="str">
        <f>+'Insumos APC APR'!D12</f>
        <v>Realizar cuatro (4) acciones destinadas a fortalecer las capacidades y oportunidades de la población juvenil de la localidad durante la vigencia del plan.</v>
      </c>
      <c r="E9" s="81">
        <f>+'Insumos APC APR'!E12</f>
        <v>2.25</v>
      </c>
      <c r="F9" s="79" t="str">
        <f t="shared" si="0"/>
        <v>Alto</v>
      </c>
      <c r="G9" s="82">
        <v>0.44</v>
      </c>
      <c r="H9" s="83">
        <f t="shared" si="2"/>
        <v>0.44</v>
      </c>
      <c r="I9" s="79">
        <v>2</v>
      </c>
      <c r="J9" s="79">
        <v>19</v>
      </c>
      <c r="K9" s="141">
        <f t="shared" si="3"/>
        <v>0.90424571428571432</v>
      </c>
      <c r="L9" s="83">
        <v>0.2818181818181818</v>
      </c>
      <c r="M9" s="83">
        <f t="shared" si="1"/>
        <v>0.25483288311688312</v>
      </c>
    </row>
    <row r="10" spans="1:60" ht="25.5" x14ac:dyDescent="0.25">
      <c r="A10" s="79">
        <v>1</v>
      </c>
      <c r="B10" s="125">
        <f>+'Insumos APC APR'!B13</f>
        <v>7</v>
      </c>
      <c r="C10" s="125">
        <f>+'Insumos APC APR'!C13</f>
        <v>646</v>
      </c>
      <c r="D10" s="124" t="str">
        <f>+'Insumos APC APR'!D13</f>
        <v xml:space="preserve">Adelantar dos (2) acciones de fortalecimiento a la justicia alternativa en la localidad durante la vigencia del plan. </v>
      </c>
      <c r="E10" s="81">
        <f>+'Insumos APC APR'!E13</f>
        <v>1</v>
      </c>
      <c r="F10" s="79" t="str">
        <f t="shared" si="0"/>
        <v>Alto</v>
      </c>
      <c r="G10" s="82">
        <v>1</v>
      </c>
      <c r="H10" s="83">
        <f t="shared" si="2"/>
        <v>1</v>
      </c>
      <c r="I10" s="79">
        <v>2</v>
      </c>
      <c r="J10" s="79">
        <v>20</v>
      </c>
      <c r="K10" s="142">
        <f t="shared" si="3"/>
        <v>1</v>
      </c>
      <c r="L10" s="83">
        <v>0.17272727272727273</v>
      </c>
      <c r="M10" s="83">
        <f t="shared" si="1"/>
        <v>0.17272727272727273</v>
      </c>
    </row>
    <row r="11" spans="1:60" ht="38.25" x14ac:dyDescent="0.25">
      <c r="A11" s="79">
        <v>1</v>
      </c>
      <c r="B11" s="125">
        <f>+'Insumos APC APR'!B14</f>
        <v>8</v>
      </c>
      <c r="C11" s="125">
        <f>+'Insumos APC APR'!C14</f>
        <v>647</v>
      </c>
      <c r="D11" s="124" t="str">
        <f>+'Insumos APC APR'!D14</f>
        <v>Beneficiar a dos mil (2000) personas en procesos e iniciativas de formación, circulación, creación e investigación en arte, cultura y patrimonio durante la vigencia del plan.</v>
      </c>
      <c r="E11" s="81">
        <f>+'Insumos APC APR'!E14</f>
        <v>1.165</v>
      </c>
      <c r="F11" s="79" t="str">
        <f t="shared" si="0"/>
        <v>Alto</v>
      </c>
      <c r="G11" s="82">
        <v>0.23</v>
      </c>
      <c r="H11" s="83">
        <f t="shared" si="2"/>
        <v>0.23</v>
      </c>
      <c r="I11" s="79">
        <v>2</v>
      </c>
      <c r="J11" s="79">
        <v>21</v>
      </c>
      <c r="K11" s="142">
        <f t="shared" si="3"/>
        <v>1</v>
      </c>
      <c r="L11" s="83">
        <v>0.30909090909090908</v>
      </c>
      <c r="M11" s="83">
        <f t="shared" si="1"/>
        <v>0.30909090909090908</v>
      </c>
    </row>
    <row r="12" spans="1:60" ht="38.25" x14ac:dyDescent="0.25">
      <c r="A12" s="79">
        <v>1</v>
      </c>
      <c r="B12" s="125">
        <v>8</v>
      </c>
      <c r="C12" s="125">
        <f>+'Insumos APC APR'!C15</f>
        <v>648</v>
      </c>
      <c r="D12" s="124" t="str">
        <f>+'Insumos APC APR'!D15</f>
        <v>Vincular doce mil (12.000) personas de todos los grupos poblacionales, ciclo vital y enfoque diferencial, en actividades físicas, deportivas, recreativas y de formación durante la vigencia del plan.</v>
      </c>
      <c r="E12" s="81">
        <f>+'Insumos APC APR'!E15</f>
        <v>0.89200000000000002</v>
      </c>
      <c r="F12" s="79" t="str">
        <f t="shared" si="0"/>
        <v>Alto</v>
      </c>
      <c r="G12" s="82">
        <v>0.32</v>
      </c>
      <c r="H12" s="83">
        <f t="shared" si="2"/>
        <v>0.28544000000000003</v>
      </c>
      <c r="I12" s="79">
        <v>3</v>
      </c>
      <c r="J12" s="79">
        <v>24</v>
      </c>
      <c r="K12" s="141">
        <f t="shared" si="3"/>
        <v>0.88750000000000007</v>
      </c>
      <c r="L12" s="83">
        <v>0.23664122137404578</v>
      </c>
      <c r="M12" s="83">
        <f t="shared" si="1"/>
        <v>0.21001908396946564</v>
      </c>
    </row>
    <row r="13" spans="1:60" ht="25.5" x14ac:dyDescent="0.25">
      <c r="A13" s="79">
        <v>1</v>
      </c>
      <c r="B13" s="125">
        <v>8</v>
      </c>
      <c r="C13" s="125">
        <f>+'Insumos APC APR'!C16</f>
        <v>649</v>
      </c>
      <c r="D13" s="124" t="str">
        <f>+'Insumos APC APR'!D16</f>
        <v>Diseñar y poner en funcionamiento  una (1) ruta turística en la localidad durante la vigencia del plan</v>
      </c>
      <c r="E13" s="81">
        <f>+'Insumos APC APR'!E16</f>
        <v>1</v>
      </c>
      <c r="F13" s="79" t="str">
        <f t="shared" si="0"/>
        <v>Alto</v>
      </c>
      <c r="G13" s="82">
        <v>0.18</v>
      </c>
      <c r="H13" s="83">
        <f t="shared" si="2"/>
        <v>0.18</v>
      </c>
      <c r="I13" s="79">
        <v>3</v>
      </c>
      <c r="J13" s="79">
        <v>26</v>
      </c>
      <c r="K13" s="142">
        <f t="shared" si="3"/>
        <v>0.85</v>
      </c>
      <c r="L13" s="83">
        <v>0.22900763358778622</v>
      </c>
      <c r="M13" s="83">
        <f t="shared" si="1"/>
        <v>0.19465648854961828</v>
      </c>
    </row>
    <row r="14" spans="1:60" ht="38.25" x14ac:dyDescent="0.25">
      <c r="A14" s="79">
        <v>1</v>
      </c>
      <c r="B14" s="125">
        <v>8</v>
      </c>
      <c r="C14" s="125">
        <f>+'Insumos APC APR'!C17</f>
        <v>650</v>
      </c>
      <c r="D14" s="124" t="str">
        <f>+'Insumos APC APR'!D17</f>
        <v>Adecuar y mantener por lo menos dieciséis (16) equipamientos culturales y/o parques vecinales y de bolsillo durante la vigencia del plan.</v>
      </c>
      <c r="E14" s="81">
        <f>+'Insumos APC APR'!E17</f>
        <v>1.1875</v>
      </c>
      <c r="F14" s="79" t="str">
        <f t="shared" si="0"/>
        <v>Alto</v>
      </c>
      <c r="G14" s="82">
        <v>0.27</v>
      </c>
      <c r="H14" s="83">
        <f t="shared" si="2"/>
        <v>0.27</v>
      </c>
      <c r="I14" s="79">
        <v>3</v>
      </c>
      <c r="J14" s="79">
        <v>27</v>
      </c>
      <c r="K14" s="141">
        <f t="shared" si="3"/>
        <v>1</v>
      </c>
      <c r="L14" s="83">
        <v>0.23664122137404578</v>
      </c>
      <c r="M14" s="83">
        <f t="shared" si="1"/>
        <v>0.23664122137404578</v>
      </c>
    </row>
    <row r="15" spans="1:60" ht="38.25" x14ac:dyDescent="0.25">
      <c r="A15" s="79">
        <v>2</v>
      </c>
      <c r="B15" s="125">
        <f>+'Insumos APC APR'!B18</f>
        <v>17</v>
      </c>
      <c r="C15" s="125">
        <f>+'Insumos APC APR'!C18</f>
        <v>651</v>
      </c>
      <c r="D15" s="124" t="str">
        <f>+'Insumos APC APR'!D18</f>
        <v>Realizar un (1) proceso integral para la preservación, conservación y recuperación de los cuerpos de agua  y la estructura ecológica principal de la localidad durante la vigencia del plan.</v>
      </c>
      <c r="E15" s="81">
        <f>+'Insumos APC APR'!E18</f>
        <v>1</v>
      </c>
      <c r="F15" s="79" t="str">
        <f t="shared" si="0"/>
        <v>Alto</v>
      </c>
      <c r="G15" s="82">
        <v>0.54</v>
      </c>
      <c r="H15" s="83">
        <f t="shared" si="2"/>
        <v>0.54</v>
      </c>
      <c r="I15" s="79">
        <v>3</v>
      </c>
      <c r="J15" s="79">
        <v>31</v>
      </c>
      <c r="K15" s="142">
        <f t="shared" si="3"/>
        <v>1</v>
      </c>
      <c r="L15" s="83">
        <v>0.29770992366412208</v>
      </c>
      <c r="M15" s="83">
        <f t="shared" si="1"/>
        <v>0.29770992366412208</v>
      </c>
    </row>
    <row r="16" spans="1:60" ht="25.5" x14ac:dyDescent="0.25">
      <c r="A16" s="79">
        <v>2</v>
      </c>
      <c r="B16" s="125">
        <v>17</v>
      </c>
      <c r="C16" s="125">
        <f>+'Insumos APC APR'!C19</f>
        <v>652</v>
      </c>
      <c r="D16" s="124" t="str">
        <f>+'Insumos APC APR'!D19</f>
        <v>Diseñar y adecuar un (1) corredor ambiental, cultural deportivo y turístico en el territorio local durante la vigencia del plan.</v>
      </c>
      <c r="E16" s="81">
        <f>+'Insumos APC APR'!E19</f>
        <v>1</v>
      </c>
      <c r="F16" s="79" t="str">
        <f t="shared" si="0"/>
        <v>Alto</v>
      </c>
      <c r="G16" s="82">
        <v>0.46</v>
      </c>
      <c r="H16" s="83">
        <f t="shared" si="2"/>
        <v>0.46</v>
      </c>
    </row>
    <row r="17" spans="1:8" ht="25.5" x14ac:dyDescent="0.25">
      <c r="A17" s="79">
        <v>2</v>
      </c>
      <c r="B17" s="125">
        <f>+'Insumos APC APR'!B20</f>
        <v>19</v>
      </c>
      <c r="C17" s="125">
        <f>+'Insumos APC APR'!C20</f>
        <v>656</v>
      </c>
      <c r="D17" s="124" t="str">
        <f>+'Insumos APC APR'!D20</f>
        <v>Mantener y/o rehabilitar setenta (70) kilómetros/carril de malla vial local durante la vigencia del Plan.</v>
      </c>
      <c r="E17" s="81">
        <f>+'Insumos APC APR'!E20</f>
        <v>0.81585714285714284</v>
      </c>
      <c r="F17" s="79" t="str">
        <f t="shared" si="0"/>
        <v>Alto</v>
      </c>
      <c r="G17" s="82">
        <v>0.52</v>
      </c>
      <c r="H17" s="83">
        <f t="shared" si="2"/>
        <v>0.42424571428571428</v>
      </c>
    </row>
    <row r="18" spans="1:8" ht="25.5" x14ac:dyDescent="0.25">
      <c r="A18" s="79">
        <v>2</v>
      </c>
      <c r="B18" s="125">
        <v>19</v>
      </c>
      <c r="C18" s="125">
        <f>+'Insumos APC APR'!C21</f>
        <v>657</v>
      </c>
      <c r="D18" s="124" t="str">
        <f>+'Insumos APC APR'!D21</f>
        <v>Mantener, rehabilitar y/o construir veinte mil (20.000) metros cuadrados de espacio público local durante la vigencia del Plan.</v>
      </c>
      <c r="E18" s="81">
        <f>+'Insumos APC APR'!E21</f>
        <v>1.3210255000000002</v>
      </c>
      <c r="F18" s="79" t="str">
        <f t="shared" si="0"/>
        <v>Alto</v>
      </c>
      <c r="G18" s="82">
        <v>0.48</v>
      </c>
      <c r="H18" s="83">
        <f t="shared" si="2"/>
        <v>0.48</v>
      </c>
    </row>
    <row r="19" spans="1:8" ht="38.25" x14ac:dyDescent="0.25">
      <c r="A19" s="79">
        <v>2</v>
      </c>
      <c r="B19" s="125">
        <f>+'Insumos APC APR'!B22</f>
        <v>20</v>
      </c>
      <c r="C19" s="125">
        <f>+'Insumos APC APR'!C22</f>
        <v>654</v>
      </c>
      <c r="D19" s="124" t="str">
        <f>+'Insumos APC APR'!D22</f>
        <v>Realizar cuatro (4) procesos de formación en temas de manejo de riesgo a los integrantes del Comité Local de Emergencias y comunidad durante la vigencia del plan.</v>
      </c>
      <c r="E19" s="81">
        <f>+'Insumos APC APR'!E22</f>
        <v>1</v>
      </c>
      <c r="F19" s="79" t="str">
        <f t="shared" si="0"/>
        <v>Alto</v>
      </c>
      <c r="G19" s="82">
        <v>0.57999999999999996</v>
      </c>
      <c r="H19" s="83">
        <f t="shared" si="2"/>
        <v>0.57999999999999996</v>
      </c>
    </row>
    <row r="20" spans="1:8" ht="25.5" x14ac:dyDescent="0.25">
      <c r="A20" s="79">
        <v>2</v>
      </c>
      <c r="B20" s="125">
        <v>20</v>
      </c>
      <c r="C20" s="125">
        <f>+'Insumos APC APR'!C23</f>
        <v>655</v>
      </c>
      <c r="D20" s="124" t="str">
        <f>+'Insumos APC APR'!D23</f>
        <v xml:space="preserve">Realizar una (1) dotación al Comité Local de Emergencias durante la vigencia del plan. </v>
      </c>
      <c r="E20" s="81">
        <f>+'Insumos APC APR'!E23</f>
        <v>2</v>
      </c>
      <c r="F20" s="79" t="str">
        <f t="shared" si="0"/>
        <v>Alto</v>
      </c>
      <c r="G20" s="82">
        <v>0.42</v>
      </c>
      <c r="H20" s="83">
        <f t="shared" si="2"/>
        <v>0.42</v>
      </c>
    </row>
    <row r="21" spans="1:8" ht="51" x14ac:dyDescent="0.25">
      <c r="A21" s="79">
        <v>2</v>
      </c>
      <c r="B21" s="125">
        <f>+'Insumos APC APR'!B24</f>
        <v>21</v>
      </c>
      <c r="C21" s="125">
        <f>+'Insumos APC APR'!C24</f>
        <v>653</v>
      </c>
      <c r="D21" s="124" t="str">
        <f>+'Insumos APC APR'!D24</f>
        <v xml:space="preserve">Adelantar un (1) proceso de articulación entre la comunidad residente, recicladores, sector comercial e industrial, población flotante, y entidades competentes para mejorar la cultura de la separación de residuos y hábitos de consumo durante la vigencia del plan. </v>
      </c>
      <c r="E21" s="81">
        <f>+'Insumos APC APR'!E24</f>
        <v>1</v>
      </c>
      <c r="F21" s="79" t="str">
        <f t="shared" si="0"/>
        <v>Alto</v>
      </c>
      <c r="G21" s="82">
        <v>1</v>
      </c>
      <c r="H21" s="83">
        <f t="shared" si="2"/>
        <v>1</v>
      </c>
    </row>
    <row r="22" spans="1:8" ht="38.25" x14ac:dyDescent="0.25">
      <c r="A22" s="79">
        <v>3</v>
      </c>
      <c r="B22" s="125">
        <f>+'Insumos APC APR'!B25</f>
        <v>24</v>
      </c>
      <c r="C22" s="125">
        <f>+'Insumos APC APR'!C25</f>
        <v>658</v>
      </c>
      <c r="D22" s="124" t="str">
        <f>+'Insumos APC APR'!D25</f>
        <v>Fortalecer por lo menos veinte (20) instancias de participación, organizaciones sociales y Juntas de Acción Comunal durante la vigencia del plan.</v>
      </c>
      <c r="E22" s="81">
        <f>+'Insumos APC APR'!E25</f>
        <v>1.8</v>
      </c>
      <c r="F22" s="79" t="str">
        <f t="shared" si="0"/>
        <v>Alto</v>
      </c>
      <c r="G22" s="82">
        <v>0.32</v>
      </c>
      <c r="H22" s="83">
        <f t="shared" si="2"/>
        <v>0.32</v>
      </c>
    </row>
    <row r="23" spans="1:8" ht="38.25" x14ac:dyDescent="0.25">
      <c r="A23" s="79">
        <v>3</v>
      </c>
      <c r="B23" s="125">
        <v>24</v>
      </c>
      <c r="C23" s="125">
        <f>+'Insumos APC APR'!C26</f>
        <v>659</v>
      </c>
      <c r="D23" s="124" t="str">
        <f>+'Insumos APC APR'!D26</f>
        <v>Apoyar una (1) estrategia con enfoque en la renovación urbana definida por las instancias de participación ciudadana durante la vigencia del Plan.</v>
      </c>
      <c r="E23" s="81">
        <f>+'Insumos APC APR'!E26</f>
        <v>1</v>
      </c>
      <c r="F23" s="79" t="str">
        <f t="shared" si="0"/>
        <v>Alto</v>
      </c>
      <c r="G23" s="82">
        <v>0.23</v>
      </c>
      <c r="H23" s="83">
        <f t="shared" si="2"/>
        <v>0.23</v>
      </c>
    </row>
    <row r="24" spans="1:8" ht="25.5" x14ac:dyDescent="0.25">
      <c r="A24" s="79">
        <v>3</v>
      </c>
      <c r="B24" s="125">
        <v>24</v>
      </c>
      <c r="C24" s="125">
        <f>+'Insumos APC APR'!C27</f>
        <v>660</v>
      </c>
      <c r="D24" s="124" t="str">
        <f>+'Insumos APC APR'!D27</f>
        <v>Apoyar cuatro (4) procesos de presupuestos participativos durante la vigencia del plan.</v>
      </c>
      <c r="E24" s="81">
        <f>+'Insumos APC APR'!E27</f>
        <v>0.75</v>
      </c>
      <c r="F24" s="79" t="str">
        <f t="shared" si="0"/>
        <v>Alto</v>
      </c>
      <c r="G24" s="82">
        <v>0.45</v>
      </c>
      <c r="H24" s="83">
        <f t="shared" si="2"/>
        <v>0.33750000000000002</v>
      </c>
    </row>
    <row r="25" spans="1:8" ht="15" x14ac:dyDescent="0.25">
      <c r="A25" s="79">
        <v>3</v>
      </c>
      <c r="B25" s="125">
        <f>+'Insumos APC APR'!B28</f>
        <v>26</v>
      </c>
      <c r="C25" s="125">
        <f>+'Insumos APC APR'!C28</f>
        <v>661</v>
      </c>
      <c r="D25" s="124" t="str">
        <f>+'Insumos APC APR'!D28</f>
        <v>Realizar dos (2) eventos de rendición de cuentas al año.</v>
      </c>
      <c r="E25" s="81">
        <f>+'Insumos APC APR'!E28</f>
        <v>0.75</v>
      </c>
      <c r="F25" s="79" t="str">
        <f t="shared" si="0"/>
        <v>Alto</v>
      </c>
      <c r="G25" s="82">
        <v>0.6</v>
      </c>
      <c r="H25" s="83">
        <f t="shared" si="2"/>
        <v>0.44999999999999996</v>
      </c>
    </row>
    <row r="26" spans="1:8" ht="25.5" x14ac:dyDescent="0.25">
      <c r="A26" s="79">
        <v>3</v>
      </c>
      <c r="B26" s="125">
        <v>26</v>
      </c>
      <c r="C26" s="125">
        <f>+'Insumos APC APR'!C29</f>
        <v>662</v>
      </c>
      <c r="D26" s="124" t="str">
        <f>+'Insumos APC APR'!D29</f>
        <v>Realizar veinticuatro (24) ferias locales de servicios al ciudadano durante la vigencia del plan.</v>
      </c>
      <c r="E26" s="81">
        <f>+'Insumos APC APR'!E29</f>
        <v>1.1666666666666667</v>
      </c>
      <c r="F26" s="79" t="str">
        <f t="shared" si="0"/>
        <v>Alto</v>
      </c>
      <c r="G26" s="82">
        <v>0.4</v>
      </c>
      <c r="H26" s="83">
        <f t="shared" si="2"/>
        <v>0.4</v>
      </c>
    </row>
    <row r="27" spans="1:8" ht="38.25" x14ac:dyDescent="0.25">
      <c r="A27" s="79">
        <v>3</v>
      </c>
      <c r="B27" s="125">
        <f>+'Insumos APC APR'!B30</f>
        <v>27</v>
      </c>
      <c r="C27" s="125">
        <f>+'Insumos APC APR'!C30</f>
        <v>663</v>
      </c>
      <c r="D27" s="124" t="str">
        <f>+'Insumos APC APR'!D30</f>
        <v>Vincular ochocientas (800) personas mediante  actividades de convivencia y seguridad, resolución pacífica de conflictos y solidaridad ciudadana durante la vigencia del plan.</v>
      </c>
      <c r="E27" s="81">
        <f>+'Insumos APC APR'!E30</f>
        <v>1</v>
      </c>
      <c r="F27" s="79" t="str">
        <f t="shared" si="0"/>
        <v>Alto</v>
      </c>
      <c r="G27" s="82">
        <v>0.26</v>
      </c>
      <c r="H27" s="83">
        <f t="shared" si="2"/>
        <v>0.26</v>
      </c>
    </row>
    <row r="28" spans="1:8" ht="25.5" x14ac:dyDescent="0.25">
      <c r="A28" s="79">
        <v>3</v>
      </c>
      <c r="B28" s="125">
        <v>27</v>
      </c>
      <c r="C28" s="125">
        <f>+'Insumos APC APR'!C31</f>
        <v>664</v>
      </c>
      <c r="D28" s="124" t="str">
        <f>+'Insumos APC APR'!D31</f>
        <v>Realizar una (1) campaña anual de difusión dirigida a la población local, en materia    de normatividad policiva, ambiental y urbana.</v>
      </c>
      <c r="E28" s="81">
        <f>+'Insumos APC APR'!E31</f>
        <v>1.75</v>
      </c>
      <c r="F28" s="79" t="str">
        <f t="shared" si="0"/>
        <v>Alto</v>
      </c>
      <c r="G28" s="82">
        <v>0.28999999999999998</v>
      </c>
      <c r="H28" s="83">
        <f t="shared" si="2"/>
        <v>0.28999999999999998</v>
      </c>
    </row>
    <row r="29" spans="1:8" ht="38.25" x14ac:dyDescent="0.25">
      <c r="A29" s="79">
        <v>3</v>
      </c>
      <c r="B29" s="125">
        <v>27</v>
      </c>
      <c r="C29" s="125">
        <f>+'Insumos APC APR'!C32</f>
        <v>665</v>
      </c>
      <c r="D29" s="124" t="str">
        <f>+'Insumos APC APR'!D32</f>
        <v>Realizar una (1) acción anual para fortalecer los planes y/o proyectos relacionados con la prevención de delitos, violencia y la conflictividad cotidiana en la localidad.</v>
      </c>
      <c r="E29" s="81">
        <f>+'Insumos APC APR'!E32</f>
        <v>1.5</v>
      </c>
      <c r="F29" s="79" t="str">
        <f t="shared" si="0"/>
        <v>Alto</v>
      </c>
      <c r="G29" s="82">
        <v>0.45</v>
      </c>
      <c r="H29" s="83">
        <f t="shared" si="2"/>
        <v>0.45</v>
      </c>
    </row>
    <row r="30" spans="1:8" ht="38.25" x14ac:dyDescent="0.25">
      <c r="A30" s="79">
        <v>3</v>
      </c>
      <c r="B30" s="125">
        <f>+'Insumos APC APR'!B33</f>
        <v>31</v>
      </c>
      <c r="C30" s="125">
        <f>+'Insumos APC APR'!C33</f>
        <v>666</v>
      </c>
      <c r="D30" s="124" t="str">
        <f>+'Insumos APC APR'!D33</f>
        <v>Implementar anualmente una estrategia
para fortalecer la capacidad operativa de la
administración local.</v>
      </c>
      <c r="E30" s="81">
        <f>+'Insumos APC APR'!E33</f>
        <v>1</v>
      </c>
      <c r="F30" s="79" t="str">
        <f t="shared" si="0"/>
        <v>Alto</v>
      </c>
      <c r="G30" s="82">
        <v>1</v>
      </c>
      <c r="H30" s="83">
        <f t="shared" si="2"/>
        <v>1</v>
      </c>
    </row>
  </sheetData>
  <sheetProtection selectLockedCells="1" selectUnlockedCells="1"/>
  <autoFilter ref="A1:R30"/>
  <pageMargins left="0.7" right="0.7" top="0.75" bottom="0.75" header="0.51180555555555551" footer="0.5118055555555555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0"/>
  <sheetViews>
    <sheetView zoomScale="80" zoomScaleNormal="80" zoomScalePageLayoutView="80" workbookViewId="0">
      <selection activeCell="E2" sqref="E2:F30"/>
    </sheetView>
  </sheetViews>
  <sheetFormatPr baseColWidth="10" defaultColWidth="10.85546875" defaultRowHeight="12.75" x14ac:dyDescent="0.25"/>
  <cols>
    <col min="1" max="2" width="10.85546875" style="76"/>
    <col min="3" max="3" width="10.85546875" style="77"/>
    <col min="4" max="4" width="58.7109375" style="77" customWidth="1"/>
    <col min="5" max="5" width="19" style="77" customWidth="1"/>
    <col min="6" max="6" width="19.140625" style="77" customWidth="1"/>
    <col min="7" max="7" width="17.140625" style="77" customWidth="1"/>
    <col min="8" max="8" width="20.85546875" style="77" customWidth="1"/>
    <col min="9" max="9" width="10.85546875" style="77" customWidth="1"/>
    <col min="10" max="10" width="12" style="77" customWidth="1"/>
    <col min="11" max="11" width="10.85546875" style="77"/>
    <col min="12" max="12" width="15.28515625" style="77" customWidth="1"/>
    <col min="13" max="13" width="16.42578125" style="77" customWidth="1"/>
    <col min="14" max="15" width="10.85546875" style="77"/>
    <col min="16" max="16" width="10.85546875" style="77" customWidth="1"/>
    <col min="17" max="17" width="15" style="77" customWidth="1"/>
    <col min="18" max="18" width="16.28515625" style="77" customWidth="1"/>
    <col min="19" max="60" width="10.85546875" style="127"/>
    <col min="61" max="16384" width="10.85546875" style="77"/>
  </cols>
  <sheetData>
    <row r="1" spans="1:60" s="78" customFormat="1" ht="78" customHeight="1" x14ac:dyDescent="0.25">
      <c r="A1" s="129" t="s">
        <v>473</v>
      </c>
      <c r="B1" s="129" t="s">
        <v>474</v>
      </c>
      <c r="C1" s="129" t="s">
        <v>475</v>
      </c>
      <c r="D1" s="129" t="s">
        <v>184</v>
      </c>
      <c r="E1" s="130" t="s">
        <v>487</v>
      </c>
      <c r="F1" s="129" t="s">
        <v>488</v>
      </c>
      <c r="G1" s="128" t="s">
        <v>478</v>
      </c>
      <c r="H1" s="129" t="s">
        <v>507</v>
      </c>
      <c r="I1" s="129" t="s">
        <v>473</v>
      </c>
      <c r="J1" s="129" t="s">
        <v>474</v>
      </c>
      <c r="K1" s="129" t="s">
        <v>480</v>
      </c>
      <c r="L1" s="128" t="s">
        <v>481</v>
      </c>
      <c r="M1" s="129" t="s">
        <v>482</v>
      </c>
      <c r="N1" s="129" t="s">
        <v>473</v>
      </c>
      <c r="O1" s="129" t="s">
        <v>483</v>
      </c>
      <c r="P1" s="128" t="s">
        <v>484</v>
      </c>
      <c r="Q1" s="129" t="s">
        <v>508</v>
      </c>
      <c r="R1" s="129" t="s">
        <v>509</v>
      </c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</row>
    <row r="2" spans="1:60" ht="63" customHeight="1" x14ac:dyDescent="0.25">
      <c r="A2" s="125">
        <f>+'Insumos APC APR'!A5</f>
        <v>1</v>
      </c>
      <c r="B2" s="125">
        <f>+'Insumos APC APR'!B5</f>
        <v>1</v>
      </c>
      <c r="C2" s="125">
        <f>+'Insumos APC APR'!C5</f>
        <v>638</v>
      </c>
      <c r="D2" s="124" t="str">
        <f>+'Insumos APC APR'!D5</f>
        <v>Realizar cuatro (4) Acciones de intervención (adecuación, remodelación y dotación) en equipamientos de los espacios destinados o con vocación para la atención integral a la primera infancia en la localidad durante la vigencia del plan.</v>
      </c>
      <c r="E2" s="81">
        <f>+'Insumos APC APR'!F5</f>
        <v>1</v>
      </c>
      <c r="F2" s="125" t="str">
        <f t="shared" ref="F2:F30" si="0">IF(E2&lt;=0.3,"Bajo",IF(E2&lt;0.7,"Medio",IF(E2&gt;=0.7,"Alto")))</f>
        <v>Alto</v>
      </c>
      <c r="G2" s="82">
        <v>0.62</v>
      </c>
      <c r="H2" s="83">
        <f t="shared" ref="H2:H30" si="1">IF(E2*G2&gt;G2,G2,G2*E2)</f>
        <v>0.62</v>
      </c>
      <c r="I2" s="125">
        <v>1</v>
      </c>
      <c r="J2" s="125">
        <v>1</v>
      </c>
      <c r="K2" s="83">
        <f t="shared" ref="K2:K15" si="2">SUMIF($B$2:$B$194,J2,$H$2:$H$194)</f>
        <v>1</v>
      </c>
      <c r="L2" s="83">
        <v>0.17330677290836655</v>
      </c>
      <c r="M2" s="83">
        <f t="shared" ref="M2:M15" si="3">+L2*K2</f>
        <v>0.17330677290836655</v>
      </c>
      <c r="N2" s="84">
        <v>1</v>
      </c>
      <c r="O2" s="141">
        <f>SUMIF($I$2:$I$194,N2,$M$2:$M$194)</f>
        <v>0.86867870517928303</v>
      </c>
      <c r="P2" s="83">
        <v>0.36115107913669059</v>
      </c>
      <c r="Q2" s="85">
        <f>+O2*P2</f>
        <v>0.31372425179856117</v>
      </c>
      <c r="R2" s="86">
        <f>SUM(Q2:Q4)</f>
        <v>0.91228965364850967</v>
      </c>
    </row>
    <row r="3" spans="1:60" ht="30.75" customHeight="1" x14ac:dyDescent="0.25">
      <c r="A3" s="125">
        <v>1</v>
      </c>
      <c r="B3" s="125">
        <v>1</v>
      </c>
      <c r="C3" s="125">
        <f>+'Insumos APC APR'!C6</f>
        <v>639</v>
      </c>
      <c r="D3" s="124" t="str">
        <f>+'Insumos APC APR'!D6</f>
        <v>Realizar cuatro (4) actividades lúdico-pedagógicas durante la vigencia del Plan</v>
      </c>
      <c r="E3" s="81">
        <f>+'Insumos APC APR'!F6</f>
        <v>1</v>
      </c>
      <c r="F3" s="125" t="str">
        <f t="shared" si="0"/>
        <v>Alto</v>
      </c>
      <c r="G3" s="82">
        <v>0.38</v>
      </c>
      <c r="H3" s="83">
        <f t="shared" si="1"/>
        <v>0.38</v>
      </c>
      <c r="I3" s="125">
        <v>1</v>
      </c>
      <c r="J3" s="125">
        <v>2</v>
      </c>
      <c r="K3" s="142">
        <f t="shared" si="2"/>
        <v>0.45462500000000006</v>
      </c>
      <c r="L3" s="142">
        <v>0.20318725099601595</v>
      </c>
      <c r="M3" s="83">
        <f t="shared" si="3"/>
        <v>9.2374003984063757E-2</v>
      </c>
      <c r="N3" s="84">
        <v>2</v>
      </c>
      <c r="O3" s="141">
        <f>SUMIF($I$2:$I$194,N3,$M$2:$M$194)</f>
        <v>0.93528971428571417</v>
      </c>
      <c r="P3" s="83">
        <v>0.35611510791366902</v>
      </c>
      <c r="Q3" s="85">
        <f>+O3*P3</f>
        <v>0.33307079753340174</v>
      </c>
    </row>
    <row r="4" spans="1:60" ht="38.25" x14ac:dyDescent="0.25">
      <c r="A4" s="125">
        <v>1</v>
      </c>
      <c r="B4" s="125">
        <f>+'Insumos APC APR'!B7</f>
        <v>2</v>
      </c>
      <c r="C4" s="125">
        <f>+'Insumos APC APR'!C7</f>
        <v>640</v>
      </c>
      <c r="D4" s="124" t="str">
        <f>+'Insumos APC APR'!D7</f>
        <v>Vincular a cuatro mil ochocientas (4.800) personas de todos los grupos poblacionales, ciclo vital y enfoque diferencial mediante acciones de promoción de salud durante la vigencia del plan.</v>
      </c>
      <c r="E4" s="81">
        <f>+'Insumos APC APR'!F7</f>
        <v>0.45462500000000006</v>
      </c>
      <c r="F4" s="125" t="str">
        <f t="shared" si="0"/>
        <v>Medio</v>
      </c>
      <c r="G4" s="82">
        <v>1</v>
      </c>
      <c r="H4" s="83">
        <f t="shared" si="1"/>
        <v>0.45462500000000006</v>
      </c>
      <c r="I4" s="125">
        <v>1</v>
      </c>
      <c r="J4" s="125">
        <v>3</v>
      </c>
      <c r="K4" s="141">
        <f t="shared" si="2"/>
        <v>1</v>
      </c>
      <c r="L4" s="142">
        <v>0.17330677290836655</v>
      </c>
      <c r="M4" s="83">
        <f t="shared" si="3"/>
        <v>0.17330677290836655</v>
      </c>
      <c r="N4" s="84">
        <v>3</v>
      </c>
      <c r="O4" s="141">
        <f>SUMIF($I$2:$I$194,N4,$M$2:$M$194)</f>
        <v>0.93902671755725176</v>
      </c>
      <c r="P4" s="83">
        <v>0.28273381294964028</v>
      </c>
      <c r="Q4" s="85">
        <f>+O4*P4</f>
        <v>0.2654946043165467</v>
      </c>
    </row>
    <row r="5" spans="1:60" ht="38.25" x14ac:dyDescent="0.25">
      <c r="A5" s="125">
        <v>1</v>
      </c>
      <c r="B5" s="125">
        <f>+'Insumos APC APR'!B8</f>
        <v>3</v>
      </c>
      <c r="C5" s="125">
        <f>+'Insumos APC APR'!C8</f>
        <v>641</v>
      </c>
      <c r="D5" s="124" t="str">
        <f>+'Insumos APC APR'!D8</f>
        <v>Dotar a diez (10) instituciones educativas distritales de la localidad con elementos pedagógicos y/o medios educativos durante la vigencia del plan</v>
      </c>
      <c r="E5" s="81">
        <f>+'Insumos APC APR'!F8</f>
        <v>1</v>
      </c>
      <c r="F5" s="125" t="str">
        <f t="shared" si="0"/>
        <v>Alto</v>
      </c>
      <c r="G5" s="82">
        <v>0.38</v>
      </c>
      <c r="H5" s="83">
        <f t="shared" si="1"/>
        <v>0.38</v>
      </c>
      <c r="I5" s="125">
        <v>1</v>
      </c>
      <c r="J5" s="125">
        <v>5</v>
      </c>
      <c r="K5" s="142">
        <f t="shared" si="2"/>
        <v>0.93280000000000007</v>
      </c>
      <c r="L5" s="142">
        <v>0.16334661354581675</v>
      </c>
      <c r="M5" s="83">
        <f t="shared" si="3"/>
        <v>0.15236972111553787</v>
      </c>
    </row>
    <row r="6" spans="1:60" ht="38.25" x14ac:dyDescent="0.25">
      <c r="A6" s="125">
        <v>1</v>
      </c>
      <c r="B6" s="125">
        <v>3</v>
      </c>
      <c r="C6" s="125">
        <f>+'Insumos APC APR'!C9</f>
        <v>642</v>
      </c>
      <c r="D6" s="124" t="str">
        <f>+'Insumos APC APR'!D9</f>
        <v>Fortalecer veinte (20) instancias destinadas a la promoción, garantía y disfrute de los derechos de los jóvenes de la localidad durante la vigencia del plan.</v>
      </c>
      <c r="E6" s="81">
        <f>+'Insumos APC APR'!F9</f>
        <v>1.1000000000000001</v>
      </c>
      <c r="F6" s="125" t="str">
        <f t="shared" si="0"/>
        <v>Alto</v>
      </c>
      <c r="G6" s="82">
        <v>0.62</v>
      </c>
      <c r="H6" s="83">
        <f t="shared" si="1"/>
        <v>0.62</v>
      </c>
      <c r="I6" s="125">
        <v>1</v>
      </c>
      <c r="J6" s="125">
        <v>7</v>
      </c>
      <c r="K6" s="142">
        <f t="shared" si="2"/>
        <v>1</v>
      </c>
      <c r="L6" s="142">
        <v>0.11952191235059763</v>
      </c>
      <c r="M6" s="83">
        <f t="shared" si="3"/>
        <v>0.11952191235059763</v>
      </c>
    </row>
    <row r="7" spans="1:60" ht="38.25" x14ac:dyDescent="0.25">
      <c r="A7" s="125">
        <v>1</v>
      </c>
      <c r="B7" s="125">
        <f>+'Insumos APC APR'!B10</f>
        <v>5</v>
      </c>
      <c r="C7" s="125">
        <f>+'Insumos APC APR'!C10</f>
        <v>643</v>
      </c>
      <c r="D7" s="124" t="str">
        <f>+'Insumos APC APR'!D10</f>
        <v>Vincular a cuatro mil (4000) personas pertenecientes a todos los grupos poblacionales, en acciones de prevención contra los distintos tipos de discriminación y violencias durante la vigencia del plan.</v>
      </c>
      <c r="E7" s="81">
        <f>+'Insumos APC APR'!F10</f>
        <v>0.79</v>
      </c>
      <c r="F7" s="125" t="str">
        <f t="shared" si="0"/>
        <v>Alto</v>
      </c>
      <c r="G7" s="82">
        <v>0.32</v>
      </c>
      <c r="H7" s="83">
        <f t="shared" si="1"/>
        <v>0.25280000000000002</v>
      </c>
      <c r="I7" s="125">
        <v>1</v>
      </c>
      <c r="J7" s="125">
        <v>8</v>
      </c>
      <c r="K7" s="142">
        <f t="shared" si="2"/>
        <v>0.9430400000000001</v>
      </c>
      <c r="L7" s="142">
        <v>0.16733067729083667</v>
      </c>
      <c r="M7" s="83">
        <f t="shared" si="3"/>
        <v>0.15779952191235064</v>
      </c>
    </row>
    <row r="8" spans="1:60" ht="38.25" x14ac:dyDescent="0.25">
      <c r="A8" s="125">
        <v>1</v>
      </c>
      <c r="B8" s="125">
        <v>5</v>
      </c>
      <c r="C8" s="125">
        <f>+'Insumos APC APR'!C11</f>
        <v>644</v>
      </c>
      <c r="D8" s="124" t="str">
        <f>+'Insumos APC APR'!D11</f>
        <v>Beneficiar a por lo menos 1000 personas mayores en condición de vulnerabilidad mediante la entrega de subsidios económicos durante la vigencia del plan</v>
      </c>
      <c r="E8" s="81">
        <f>+'Insumos APC APR'!F11</f>
        <v>1.899</v>
      </c>
      <c r="F8" s="125" t="str">
        <f t="shared" si="0"/>
        <v>Alto</v>
      </c>
      <c r="G8" s="82">
        <v>0.24</v>
      </c>
      <c r="H8" s="83">
        <f t="shared" si="1"/>
        <v>0.24</v>
      </c>
      <c r="I8" s="125">
        <v>2</v>
      </c>
      <c r="J8" s="125">
        <v>17</v>
      </c>
      <c r="K8" s="142">
        <f t="shared" si="2"/>
        <v>1</v>
      </c>
      <c r="L8" s="142">
        <v>0.23636363636363636</v>
      </c>
      <c r="M8" s="83">
        <f t="shared" si="3"/>
        <v>0.23636363636363636</v>
      </c>
    </row>
    <row r="9" spans="1:60" ht="38.25" x14ac:dyDescent="0.25">
      <c r="A9" s="125">
        <v>1</v>
      </c>
      <c r="B9" s="125">
        <v>5</v>
      </c>
      <c r="C9" s="125">
        <f>+'Insumos APC APR'!C12</f>
        <v>645</v>
      </c>
      <c r="D9" s="124" t="str">
        <f>+'Insumos APC APR'!D12</f>
        <v>Realizar cuatro (4) acciones destinadas a fortalecer las capacidades y oportunidades de la población juvenil de la localidad durante la vigencia del plan.</v>
      </c>
      <c r="E9" s="81">
        <f>+'Insumos APC APR'!F12</f>
        <v>2.25</v>
      </c>
      <c r="F9" s="125" t="str">
        <f t="shared" si="0"/>
        <v>Alto</v>
      </c>
      <c r="G9" s="82">
        <v>0.44</v>
      </c>
      <c r="H9" s="83">
        <f t="shared" si="1"/>
        <v>0.44</v>
      </c>
      <c r="I9" s="125">
        <v>2</v>
      </c>
      <c r="J9" s="125">
        <v>19</v>
      </c>
      <c r="K9" s="141">
        <f t="shared" si="2"/>
        <v>0.77038285714285704</v>
      </c>
      <c r="L9" s="142">
        <v>0.2818181818181818</v>
      </c>
      <c r="M9" s="83">
        <f t="shared" si="3"/>
        <v>0.21710789610389605</v>
      </c>
    </row>
    <row r="10" spans="1:60" ht="25.5" x14ac:dyDescent="0.25">
      <c r="A10" s="125">
        <v>1</v>
      </c>
      <c r="B10" s="125">
        <f>+'Insumos APC APR'!B13</f>
        <v>7</v>
      </c>
      <c r="C10" s="125">
        <f>+'Insumos APC APR'!C13</f>
        <v>646</v>
      </c>
      <c r="D10" s="124" t="str">
        <f>+'Insumos APC APR'!D13</f>
        <v xml:space="preserve">Adelantar dos (2) acciones de fortalecimiento a la justicia alternativa en la localidad durante la vigencia del plan. </v>
      </c>
      <c r="E10" s="81">
        <f>+'Insumos APC APR'!F13</f>
        <v>1</v>
      </c>
      <c r="F10" s="125" t="str">
        <f t="shared" si="0"/>
        <v>Alto</v>
      </c>
      <c r="G10" s="82">
        <v>1</v>
      </c>
      <c r="H10" s="83">
        <f t="shared" si="1"/>
        <v>1</v>
      </c>
      <c r="I10" s="125">
        <v>2</v>
      </c>
      <c r="J10" s="125">
        <v>20</v>
      </c>
      <c r="K10" s="142">
        <f t="shared" si="2"/>
        <v>1</v>
      </c>
      <c r="L10" s="142">
        <v>0.17272727272727273</v>
      </c>
      <c r="M10" s="83">
        <f t="shared" si="3"/>
        <v>0.17272727272727273</v>
      </c>
    </row>
    <row r="11" spans="1:60" ht="38.25" x14ac:dyDescent="0.25">
      <c r="A11" s="125">
        <v>1</v>
      </c>
      <c r="B11" s="125">
        <f>+'Insumos APC APR'!B14</f>
        <v>8</v>
      </c>
      <c r="C11" s="125">
        <f>+'Insumos APC APR'!C14</f>
        <v>647</v>
      </c>
      <c r="D11" s="124" t="str">
        <f>+'Insumos APC APR'!D14</f>
        <v>Beneficiar a dos mil (2000) personas en procesos e iniciativas de formación, circulación, creación e investigación en arte, cultura y patrimonio durante la vigencia del plan.</v>
      </c>
      <c r="E11" s="81">
        <f>+'Insumos APC APR'!F14</f>
        <v>1.0425</v>
      </c>
      <c r="F11" s="125" t="str">
        <f t="shared" si="0"/>
        <v>Alto</v>
      </c>
      <c r="G11" s="82">
        <v>0.23</v>
      </c>
      <c r="H11" s="83">
        <f t="shared" si="1"/>
        <v>0.23</v>
      </c>
      <c r="I11" s="125">
        <v>2</v>
      </c>
      <c r="J11" s="125">
        <v>21</v>
      </c>
      <c r="K11" s="142">
        <f t="shared" si="2"/>
        <v>1</v>
      </c>
      <c r="L11" s="142">
        <v>0.30909090909090908</v>
      </c>
      <c r="M11" s="83">
        <f t="shared" si="3"/>
        <v>0.30909090909090908</v>
      </c>
    </row>
    <row r="12" spans="1:60" ht="38.25" x14ac:dyDescent="0.25">
      <c r="A12" s="125">
        <v>1</v>
      </c>
      <c r="B12" s="125">
        <v>8</v>
      </c>
      <c r="C12" s="125">
        <f>+'Insumos APC APR'!C15</f>
        <v>648</v>
      </c>
      <c r="D12" s="124" t="str">
        <f>+'Insumos APC APR'!D15</f>
        <v>Vincular doce mil (12.000) personas de todos los grupos poblacionales, ciclo vital y enfoque diferencial, en actividades físicas, deportivas, recreativas y de formación durante la vigencia del plan.</v>
      </c>
      <c r="E12" s="81">
        <f>+'Insumos APC APR'!F15</f>
        <v>0.82199999999999995</v>
      </c>
      <c r="F12" s="125" t="str">
        <f t="shared" si="0"/>
        <v>Alto</v>
      </c>
      <c r="G12" s="82">
        <v>0.32</v>
      </c>
      <c r="H12" s="83">
        <f t="shared" si="1"/>
        <v>0.26304</v>
      </c>
      <c r="I12" s="125">
        <v>3</v>
      </c>
      <c r="J12" s="125">
        <v>24</v>
      </c>
      <c r="K12" s="141">
        <f t="shared" si="2"/>
        <v>0.88750000000000007</v>
      </c>
      <c r="L12" s="142">
        <v>0.23664122137404578</v>
      </c>
      <c r="M12" s="83">
        <f t="shared" si="3"/>
        <v>0.21001908396946564</v>
      </c>
    </row>
    <row r="13" spans="1:60" ht="25.5" x14ac:dyDescent="0.25">
      <c r="A13" s="125">
        <v>1</v>
      </c>
      <c r="B13" s="125">
        <v>8</v>
      </c>
      <c r="C13" s="125">
        <f>+'Insumos APC APR'!C16</f>
        <v>649</v>
      </c>
      <c r="D13" s="124" t="str">
        <f>+'Insumos APC APR'!D16</f>
        <v>Diseñar y poner en funcionamiento  una (1) ruta turística en la localidad durante la vigencia del plan</v>
      </c>
      <c r="E13" s="81">
        <f>+'Insumos APC APR'!F16</f>
        <v>1</v>
      </c>
      <c r="F13" s="125" t="str">
        <f t="shared" si="0"/>
        <v>Alto</v>
      </c>
      <c r="G13" s="82">
        <v>0.18</v>
      </c>
      <c r="H13" s="83">
        <f t="shared" si="1"/>
        <v>0.18</v>
      </c>
      <c r="I13" s="125">
        <v>3</v>
      </c>
      <c r="J13" s="125">
        <v>26</v>
      </c>
      <c r="K13" s="142">
        <f t="shared" si="2"/>
        <v>0.85</v>
      </c>
      <c r="L13" s="142">
        <v>0.22900763358778622</v>
      </c>
      <c r="M13" s="83">
        <f t="shared" si="3"/>
        <v>0.19465648854961828</v>
      </c>
    </row>
    <row r="14" spans="1:60" ht="38.25" x14ac:dyDescent="0.25">
      <c r="A14" s="125">
        <v>1</v>
      </c>
      <c r="B14" s="125">
        <v>8</v>
      </c>
      <c r="C14" s="125">
        <f>+'Insumos APC APR'!C17</f>
        <v>650</v>
      </c>
      <c r="D14" s="124" t="str">
        <f>+'Insumos APC APR'!D17</f>
        <v>Adecuar y mantener por lo menos dieciséis (16) equipamientos culturales y/o parques vecinales y de bolsillo durante la vigencia del plan.</v>
      </c>
      <c r="E14" s="81">
        <f>+'Insumos APC APR'!F17</f>
        <v>1.1875</v>
      </c>
      <c r="F14" s="125" t="str">
        <f t="shared" si="0"/>
        <v>Alto</v>
      </c>
      <c r="G14" s="82">
        <v>0.27</v>
      </c>
      <c r="H14" s="83">
        <f t="shared" si="1"/>
        <v>0.27</v>
      </c>
      <c r="I14" s="125">
        <v>3</v>
      </c>
      <c r="J14" s="125">
        <v>27</v>
      </c>
      <c r="K14" s="141">
        <f t="shared" si="2"/>
        <v>1</v>
      </c>
      <c r="L14" s="142">
        <v>0.23664122137404578</v>
      </c>
      <c r="M14" s="83">
        <f t="shared" si="3"/>
        <v>0.23664122137404578</v>
      </c>
    </row>
    <row r="15" spans="1:60" ht="38.25" x14ac:dyDescent="0.25">
      <c r="A15" s="125">
        <v>2</v>
      </c>
      <c r="B15" s="125">
        <f>+'Insumos APC APR'!B18</f>
        <v>17</v>
      </c>
      <c r="C15" s="125">
        <f>+'Insumos APC APR'!C18</f>
        <v>651</v>
      </c>
      <c r="D15" s="124" t="str">
        <f>+'Insumos APC APR'!D18</f>
        <v>Realizar un (1) proceso integral para la preservación, conservación y recuperación de los cuerpos de agua  y la estructura ecológica principal de la localidad durante la vigencia del plan.</v>
      </c>
      <c r="E15" s="81">
        <f>+'Insumos APC APR'!F18</f>
        <v>1</v>
      </c>
      <c r="F15" s="125" t="str">
        <f t="shared" si="0"/>
        <v>Alto</v>
      </c>
      <c r="G15" s="82">
        <v>0.54</v>
      </c>
      <c r="H15" s="83">
        <f t="shared" si="1"/>
        <v>0.54</v>
      </c>
      <c r="I15" s="125">
        <v>3</v>
      </c>
      <c r="J15" s="125">
        <v>31</v>
      </c>
      <c r="K15" s="142">
        <f t="shared" si="2"/>
        <v>1</v>
      </c>
      <c r="L15" s="142">
        <v>0.29770992366412208</v>
      </c>
      <c r="M15" s="83">
        <f t="shared" si="3"/>
        <v>0.29770992366412208</v>
      </c>
    </row>
    <row r="16" spans="1:60" ht="25.5" x14ac:dyDescent="0.25">
      <c r="A16" s="125">
        <v>2</v>
      </c>
      <c r="B16" s="125">
        <v>17</v>
      </c>
      <c r="C16" s="125">
        <f>+'Insumos APC APR'!C19</f>
        <v>652</v>
      </c>
      <c r="D16" s="124" t="str">
        <f>+'Insumos APC APR'!D19</f>
        <v>Diseñar y adecuar un (1) corredor ambiental, cultural deportivo y turístico en el territorio local durante la vigencia del plan.</v>
      </c>
      <c r="E16" s="81">
        <f>+'Insumos APC APR'!F19</f>
        <v>1</v>
      </c>
      <c r="F16" s="125" t="str">
        <f t="shared" si="0"/>
        <v>Alto</v>
      </c>
      <c r="G16" s="82">
        <v>0.46</v>
      </c>
      <c r="H16" s="83">
        <f t="shared" si="1"/>
        <v>0.46</v>
      </c>
      <c r="K16" s="127"/>
      <c r="L16" s="127"/>
    </row>
    <row r="17" spans="1:8" ht="25.5" x14ac:dyDescent="0.25">
      <c r="A17" s="125">
        <v>2</v>
      </c>
      <c r="B17" s="125">
        <f>+'Insumos APC APR'!B20</f>
        <v>19</v>
      </c>
      <c r="C17" s="125">
        <f>+'Insumos APC APR'!C20</f>
        <v>656</v>
      </c>
      <c r="D17" s="124" t="str">
        <f>+'Insumos APC APR'!D20</f>
        <v>Mantener y/o rehabilitar setenta (70) kilómetros/carril de malla vial local durante la vigencia del Plan.</v>
      </c>
      <c r="E17" s="81">
        <f>+'Insumos APC APR'!F20</f>
        <v>0.55842857142857139</v>
      </c>
      <c r="F17" s="125" t="str">
        <f t="shared" si="0"/>
        <v>Medio</v>
      </c>
      <c r="G17" s="82">
        <v>0.52</v>
      </c>
      <c r="H17" s="83">
        <f t="shared" si="1"/>
        <v>0.29038285714285711</v>
      </c>
    </row>
    <row r="18" spans="1:8" ht="25.5" x14ac:dyDescent="0.25">
      <c r="A18" s="125">
        <v>2</v>
      </c>
      <c r="B18" s="125">
        <v>19</v>
      </c>
      <c r="C18" s="125">
        <f>+'Insumos APC APR'!C21</f>
        <v>657</v>
      </c>
      <c r="D18" s="124" t="str">
        <f>+'Insumos APC APR'!D21</f>
        <v>Mantener, rehabilitar y/o construir veinte mil (20.000) metros cuadrados de espacio público local durante la vigencia del Plan.</v>
      </c>
      <c r="E18" s="81">
        <f>+'Insumos APC APR'!F21</f>
        <v>1.1285580000000002</v>
      </c>
      <c r="F18" s="125" t="str">
        <f t="shared" si="0"/>
        <v>Alto</v>
      </c>
      <c r="G18" s="82">
        <v>0.48</v>
      </c>
      <c r="H18" s="83">
        <f t="shared" si="1"/>
        <v>0.48</v>
      </c>
    </row>
    <row r="19" spans="1:8" ht="38.25" x14ac:dyDescent="0.25">
      <c r="A19" s="125">
        <v>2</v>
      </c>
      <c r="B19" s="125">
        <f>+'Insumos APC APR'!B22</f>
        <v>20</v>
      </c>
      <c r="C19" s="125">
        <f>+'Insumos APC APR'!C22</f>
        <v>654</v>
      </c>
      <c r="D19" s="124" t="str">
        <f>+'Insumos APC APR'!D22</f>
        <v>Realizar cuatro (4) procesos de formación en temas de manejo de riesgo a los integrantes del Comité Local de Emergencias y comunidad durante la vigencia del plan.</v>
      </c>
      <c r="E19" s="81">
        <f>+'Insumos APC APR'!F22</f>
        <v>1</v>
      </c>
      <c r="F19" s="125" t="str">
        <f t="shared" si="0"/>
        <v>Alto</v>
      </c>
      <c r="G19" s="82">
        <v>0.57999999999999996</v>
      </c>
      <c r="H19" s="83">
        <f t="shared" si="1"/>
        <v>0.57999999999999996</v>
      </c>
    </row>
    <row r="20" spans="1:8" ht="25.5" x14ac:dyDescent="0.25">
      <c r="A20" s="125">
        <v>2</v>
      </c>
      <c r="B20" s="125">
        <v>20</v>
      </c>
      <c r="C20" s="125">
        <f>+'Insumos APC APR'!C23</f>
        <v>655</v>
      </c>
      <c r="D20" s="124" t="str">
        <f>+'Insumos APC APR'!D23</f>
        <v xml:space="preserve">Realizar una (1) dotación al Comité Local de Emergencias durante la vigencia del plan. </v>
      </c>
      <c r="E20" s="81">
        <f>+'Insumos APC APR'!F23</f>
        <v>2</v>
      </c>
      <c r="F20" s="125" t="str">
        <f t="shared" si="0"/>
        <v>Alto</v>
      </c>
      <c r="G20" s="82">
        <v>0.42</v>
      </c>
      <c r="H20" s="83">
        <f t="shared" si="1"/>
        <v>0.42</v>
      </c>
    </row>
    <row r="21" spans="1:8" ht="51" x14ac:dyDescent="0.25">
      <c r="A21" s="125">
        <v>2</v>
      </c>
      <c r="B21" s="125">
        <f>+'Insumos APC APR'!B24</f>
        <v>21</v>
      </c>
      <c r="C21" s="125">
        <f>+'Insumos APC APR'!C24</f>
        <v>653</v>
      </c>
      <c r="D21" s="124" t="str">
        <f>+'Insumos APC APR'!D24</f>
        <v xml:space="preserve">Adelantar un (1) proceso de articulación entre la comunidad residente, recicladores, sector comercial e industrial, población flotante, y entidades competentes para mejorar la cultura de la separación de residuos y hábitos de consumo durante la vigencia del plan. </v>
      </c>
      <c r="E21" s="81">
        <f>+'Insumos APC APR'!F24</f>
        <v>1</v>
      </c>
      <c r="F21" s="125" t="str">
        <f t="shared" si="0"/>
        <v>Alto</v>
      </c>
      <c r="G21" s="82">
        <v>1</v>
      </c>
      <c r="H21" s="83">
        <f t="shared" si="1"/>
        <v>1</v>
      </c>
    </row>
    <row r="22" spans="1:8" ht="38.25" x14ac:dyDescent="0.25">
      <c r="A22" s="125">
        <v>3</v>
      </c>
      <c r="B22" s="125">
        <f>+'Insumos APC APR'!B25</f>
        <v>24</v>
      </c>
      <c r="C22" s="125">
        <f>+'Insumos APC APR'!C25</f>
        <v>658</v>
      </c>
      <c r="D22" s="124" t="str">
        <f>+'Insumos APC APR'!D25</f>
        <v>Fortalecer por lo menos veinte (20) instancias de participación, organizaciones sociales y Juntas de Acción Comunal durante la vigencia del plan.</v>
      </c>
      <c r="E22" s="81">
        <f>+'Insumos APC APR'!F25</f>
        <v>1.55</v>
      </c>
      <c r="F22" s="125" t="str">
        <f t="shared" si="0"/>
        <v>Alto</v>
      </c>
      <c r="G22" s="82">
        <v>0.32</v>
      </c>
      <c r="H22" s="83">
        <f t="shared" si="1"/>
        <v>0.32</v>
      </c>
    </row>
    <row r="23" spans="1:8" ht="38.25" x14ac:dyDescent="0.25">
      <c r="A23" s="125">
        <v>3</v>
      </c>
      <c r="B23" s="125">
        <v>24</v>
      </c>
      <c r="C23" s="125">
        <f>+'Insumos APC APR'!C26</f>
        <v>659</v>
      </c>
      <c r="D23" s="124" t="str">
        <f>+'Insumos APC APR'!D26</f>
        <v>Apoyar una (1) estrategia con enfoque en la renovación urbana definida por las instancias de participación ciudadana durante la vigencia del Plan.</v>
      </c>
      <c r="E23" s="81">
        <f>+'Insumos APC APR'!F26</f>
        <v>1</v>
      </c>
      <c r="F23" s="125" t="str">
        <f t="shared" si="0"/>
        <v>Alto</v>
      </c>
      <c r="G23" s="82">
        <v>0.23</v>
      </c>
      <c r="H23" s="83">
        <f t="shared" si="1"/>
        <v>0.23</v>
      </c>
    </row>
    <row r="24" spans="1:8" ht="25.5" x14ac:dyDescent="0.25">
      <c r="A24" s="125">
        <v>3</v>
      </c>
      <c r="B24" s="125">
        <v>24</v>
      </c>
      <c r="C24" s="125">
        <f>+'Insumos APC APR'!C27</f>
        <v>660</v>
      </c>
      <c r="D24" s="124" t="str">
        <f>+'Insumos APC APR'!D27</f>
        <v>Apoyar cuatro (4) procesos de presupuestos participativos durante la vigencia del plan.</v>
      </c>
      <c r="E24" s="81">
        <f>+'Insumos APC APR'!F27</f>
        <v>0.75</v>
      </c>
      <c r="F24" s="125" t="str">
        <f t="shared" si="0"/>
        <v>Alto</v>
      </c>
      <c r="G24" s="82">
        <v>0.45</v>
      </c>
      <c r="H24" s="83">
        <f t="shared" si="1"/>
        <v>0.33750000000000002</v>
      </c>
    </row>
    <row r="25" spans="1:8" ht="15" x14ac:dyDescent="0.25">
      <c r="A25" s="125">
        <v>3</v>
      </c>
      <c r="B25" s="125">
        <f>+'Insumos APC APR'!B28</f>
        <v>26</v>
      </c>
      <c r="C25" s="125">
        <f>+'Insumos APC APR'!C28</f>
        <v>661</v>
      </c>
      <c r="D25" s="124" t="str">
        <f>+'Insumos APC APR'!D28</f>
        <v>Realizar dos (2) eventos de rendición de cuentas al año.</v>
      </c>
      <c r="E25" s="81">
        <f>+'Insumos APC APR'!F28</f>
        <v>0.75</v>
      </c>
      <c r="F25" s="125" t="str">
        <f t="shared" si="0"/>
        <v>Alto</v>
      </c>
      <c r="G25" s="82">
        <v>0.6</v>
      </c>
      <c r="H25" s="83">
        <f t="shared" si="1"/>
        <v>0.44999999999999996</v>
      </c>
    </row>
    <row r="26" spans="1:8" ht="25.5" x14ac:dyDescent="0.25">
      <c r="A26" s="125">
        <v>3</v>
      </c>
      <c r="B26" s="125">
        <v>26</v>
      </c>
      <c r="C26" s="125">
        <f>+'Insumos APC APR'!C29</f>
        <v>662</v>
      </c>
      <c r="D26" s="124" t="str">
        <f>+'Insumos APC APR'!D29</f>
        <v>Realizar veinticuatro (24) ferias locales de servicios al ciudadano durante la vigencia del plan.</v>
      </c>
      <c r="E26" s="81">
        <f>+'Insumos APC APR'!F29</f>
        <v>1.1666666666666667</v>
      </c>
      <c r="F26" s="125" t="str">
        <f t="shared" si="0"/>
        <v>Alto</v>
      </c>
      <c r="G26" s="82">
        <v>0.4</v>
      </c>
      <c r="H26" s="83">
        <f t="shared" si="1"/>
        <v>0.4</v>
      </c>
    </row>
    <row r="27" spans="1:8" ht="38.25" x14ac:dyDescent="0.25">
      <c r="A27" s="125">
        <v>3</v>
      </c>
      <c r="B27" s="125">
        <f>+'Insumos APC APR'!B30</f>
        <v>27</v>
      </c>
      <c r="C27" s="125">
        <f>+'Insumos APC APR'!C30</f>
        <v>663</v>
      </c>
      <c r="D27" s="124" t="str">
        <f>+'Insumos APC APR'!D30</f>
        <v>Vincular ochocientas (800) personas mediante  actividades de convivencia y seguridad, resolución pacífica de conflictos y solidaridad ciudadana durante la vigencia del plan.</v>
      </c>
      <c r="E27" s="81">
        <f>+'Insumos APC APR'!F30</f>
        <v>1</v>
      </c>
      <c r="F27" s="125" t="str">
        <f t="shared" si="0"/>
        <v>Alto</v>
      </c>
      <c r="G27" s="82">
        <v>0.26</v>
      </c>
      <c r="H27" s="83">
        <f t="shared" si="1"/>
        <v>0.26</v>
      </c>
    </row>
    <row r="28" spans="1:8" ht="25.5" x14ac:dyDescent="0.25">
      <c r="A28" s="125">
        <v>3</v>
      </c>
      <c r="B28" s="125">
        <v>27</v>
      </c>
      <c r="C28" s="125">
        <f>+'Insumos APC APR'!C31</f>
        <v>664</v>
      </c>
      <c r="D28" s="124" t="str">
        <f>+'Insumos APC APR'!D31</f>
        <v>Realizar una (1) campaña anual de difusión dirigida a la población local, en materia    de normatividad policiva, ambiental y urbana.</v>
      </c>
      <c r="E28" s="81">
        <f>+'Insumos APC APR'!F31</f>
        <v>1.75</v>
      </c>
      <c r="F28" s="125" t="str">
        <f t="shared" si="0"/>
        <v>Alto</v>
      </c>
      <c r="G28" s="82">
        <v>0.28999999999999998</v>
      </c>
      <c r="H28" s="83">
        <f t="shared" si="1"/>
        <v>0.28999999999999998</v>
      </c>
    </row>
    <row r="29" spans="1:8" ht="38.25" x14ac:dyDescent="0.25">
      <c r="A29" s="125">
        <v>3</v>
      </c>
      <c r="B29" s="125">
        <v>27</v>
      </c>
      <c r="C29" s="125">
        <f>+'Insumos APC APR'!C32</f>
        <v>665</v>
      </c>
      <c r="D29" s="124" t="str">
        <f>+'Insumos APC APR'!D32</f>
        <v>Realizar una (1) acción anual para fortalecer los planes y/o proyectos relacionados con la prevención de delitos, violencia y la conflictividad cotidiana en la localidad.</v>
      </c>
      <c r="E29" s="81">
        <f>+'Insumos APC APR'!F32</f>
        <v>1</v>
      </c>
      <c r="F29" s="125" t="str">
        <f t="shared" si="0"/>
        <v>Alto</v>
      </c>
      <c r="G29" s="82">
        <v>0.45</v>
      </c>
      <c r="H29" s="83">
        <f t="shared" si="1"/>
        <v>0.45</v>
      </c>
    </row>
    <row r="30" spans="1:8" ht="38.25" x14ac:dyDescent="0.25">
      <c r="A30" s="125">
        <v>3</v>
      </c>
      <c r="B30" s="125">
        <f>+'Insumos APC APR'!B33</f>
        <v>31</v>
      </c>
      <c r="C30" s="125">
        <f>+'Insumos APC APR'!C33</f>
        <v>666</v>
      </c>
      <c r="D30" s="124" t="str">
        <f>+'Insumos APC APR'!D33</f>
        <v>Implementar anualmente una estrategia
para fortalecer la capacidad operativa de la
administración local.</v>
      </c>
      <c r="E30" s="81">
        <f>+'Insumos APC APR'!F33</f>
        <v>1</v>
      </c>
      <c r="F30" s="125" t="str">
        <f t="shared" si="0"/>
        <v>Alto</v>
      </c>
      <c r="G30" s="82">
        <v>1</v>
      </c>
      <c r="H30" s="83">
        <f t="shared" si="1"/>
        <v>1</v>
      </c>
    </row>
  </sheetData>
  <sheetProtection selectLockedCells="1" selectUnlockedCells="1"/>
  <autoFilter ref="A1:R30"/>
  <pageMargins left="0.7" right="0.7" top="0.75" bottom="0.75" header="0.51180555555555551" footer="0.5118055555555555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1"/>
  <sheetViews>
    <sheetView workbookViewId="0">
      <selection activeCell="C1" sqref="C1"/>
    </sheetView>
  </sheetViews>
  <sheetFormatPr baseColWidth="10" defaultColWidth="11.42578125" defaultRowHeight="15" x14ac:dyDescent="0.25"/>
  <cols>
    <col min="1" max="1" width="53.85546875" style="40" customWidth="1"/>
    <col min="2" max="2" width="11.42578125" style="40"/>
    <col min="3" max="3" width="25.7109375" style="40" customWidth="1"/>
    <col min="4" max="4" width="16.85546875" style="40" customWidth="1"/>
    <col min="5" max="5" width="15.42578125" style="40" customWidth="1"/>
    <col min="6" max="6" width="16" style="40" customWidth="1"/>
    <col min="7" max="7" width="15.7109375" style="40" customWidth="1"/>
    <col min="8" max="16384" width="11.42578125" style="40"/>
  </cols>
  <sheetData>
    <row r="1" spans="1:3" x14ac:dyDescent="0.25">
      <c r="C1" s="41" t="s">
        <v>375</v>
      </c>
    </row>
    <row r="2" spans="1:3" x14ac:dyDescent="0.25">
      <c r="A2" s="42" t="s">
        <v>376</v>
      </c>
      <c r="C2" s="42" t="s">
        <v>217</v>
      </c>
    </row>
    <row r="3" spans="1:3" x14ac:dyDescent="0.25">
      <c r="A3" s="42" t="s">
        <v>377</v>
      </c>
      <c r="C3" s="42" t="s">
        <v>249</v>
      </c>
    </row>
    <row r="4" spans="1:3" x14ac:dyDescent="0.25">
      <c r="A4" s="42" t="s">
        <v>378</v>
      </c>
      <c r="C4" s="42" t="s">
        <v>334</v>
      </c>
    </row>
    <row r="5" spans="1:3" x14ac:dyDescent="0.25">
      <c r="A5" s="42" t="s">
        <v>370</v>
      </c>
      <c r="C5" s="42" t="s">
        <v>262</v>
      </c>
    </row>
    <row r="6" spans="1:3" x14ac:dyDescent="0.25">
      <c r="A6" s="42" t="s">
        <v>379</v>
      </c>
      <c r="C6" s="42" t="s">
        <v>278</v>
      </c>
    </row>
    <row r="7" spans="1:3" x14ac:dyDescent="0.25">
      <c r="A7" s="42" t="s">
        <v>380</v>
      </c>
      <c r="C7" s="42" t="s">
        <v>284</v>
      </c>
    </row>
    <row r="8" spans="1:3" x14ac:dyDescent="0.25">
      <c r="A8" s="42" t="s">
        <v>372</v>
      </c>
      <c r="C8" s="42" t="s">
        <v>306</v>
      </c>
    </row>
    <row r="9" spans="1:3" x14ac:dyDescent="0.25">
      <c r="A9" s="42" t="s">
        <v>381</v>
      </c>
      <c r="C9" s="42" t="s">
        <v>297</v>
      </c>
    </row>
    <row r="10" spans="1:3" x14ac:dyDescent="0.25">
      <c r="A10" s="42" t="s">
        <v>382</v>
      </c>
      <c r="C10" s="42" t="s">
        <v>349</v>
      </c>
    </row>
    <row r="11" spans="1:3" x14ac:dyDescent="0.25">
      <c r="A11" s="42" t="s">
        <v>353</v>
      </c>
      <c r="C11" s="42" t="s">
        <v>228</v>
      </c>
    </row>
    <row r="12" spans="1:3" x14ac:dyDescent="0.25">
      <c r="A12" s="42" t="s">
        <v>383</v>
      </c>
    </row>
    <row r="13" spans="1:3" x14ac:dyDescent="0.25">
      <c r="A13" s="42" t="s">
        <v>384</v>
      </c>
    </row>
    <row r="15" spans="1:3" x14ac:dyDescent="0.25">
      <c r="A15" s="41" t="s">
        <v>385</v>
      </c>
    </row>
    <row r="16" spans="1:3" x14ac:dyDescent="0.25">
      <c r="A16" s="42" t="s">
        <v>364</v>
      </c>
    </row>
    <row r="17" spans="1:1" x14ac:dyDescent="0.25">
      <c r="A17" s="42" t="s">
        <v>354</v>
      </c>
    </row>
    <row r="18" spans="1:1" x14ac:dyDescent="0.25">
      <c r="A18" s="43" t="s">
        <v>386</v>
      </c>
    </row>
    <row r="19" spans="1:1" x14ac:dyDescent="0.25">
      <c r="A19" s="43" t="s">
        <v>387</v>
      </c>
    </row>
    <row r="20" spans="1:1" x14ac:dyDescent="0.25">
      <c r="A20" s="44" t="s">
        <v>388</v>
      </c>
    </row>
    <row r="21" spans="1:1" x14ac:dyDescent="0.25">
      <c r="A21" s="44" t="s">
        <v>389</v>
      </c>
    </row>
    <row r="22" spans="1:1" x14ac:dyDescent="0.25">
      <c r="A22" s="42" t="s">
        <v>357</v>
      </c>
    </row>
    <row r="23" spans="1:1" x14ac:dyDescent="0.25">
      <c r="A23" s="42" t="s">
        <v>365</v>
      </c>
    </row>
    <row r="24" spans="1:1" x14ac:dyDescent="0.25">
      <c r="A24" s="42" t="s">
        <v>359</v>
      </c>
    </row>
    <row r="25" spans="1:1" x14ac:dyDescent="0.25">
      <c r="A25" s="42" t="s">
        <v>390</v>
      </c>
    </row>
    <row r="26" spans="1:1" x14ac:dyDescent="0.25">
      <c r="A26" s="42"/>
    </row>
    <row r="27" spans="1:1" x14ac:dyDescent="0.25">
      <c r="A27" s="45" t="s">
        <v>391</v>
      </c>
    </row>
    <row r="28" spans="1:1" x14ac:dyDescent="0.25">
      <c r="A28" s="42" t="s">
        <v>392</v>
      </c>
    </row>
    <row r="29" spans="1:1" x14ac:dyDescent="0.25">
      <c r="A29" s="42" t="s">
        <v>393</v>
      </c>
    </row>
    <row r="30" spans="1:1" x14ac:dyDescent="0.25">
      <c r="A30" s="42" t="s">
        <v>394</v>
      </c>
    </row>
    <row r="31" spans="1:1" x14ac:dyDescent="0.25">
      <c r="A31" s="44" t="s">
        <v>360</v>
      </c>
    </row>
    <row r="32" spans="1:1" x14ac:dyDescent="0.25">
      <c r="A32" s="44" t="s">
        <v>395</v>
      </c>
    </row>
    <row r="33" spans="1:1" x14ac:dyDescent="0.25">
      <c r="A33" s="44" t="s">
        <v>389</v>
      </c>
    </row>
    <row r="34" spans="1:1" x14ac:dyDescent="0.25">
      <c r="A34" s="42" t="s">
        <v>374</v>
      </c>
    </row>
    <row r="35" spans="1:1" x14ac:dyDescent="0.25">
      <c r="A35" s="42" t="s">
        <v>358</v>
      </c>
    </row>
    <row r="36" spans="1:1" x14ac:dyDescent="0.25">
      <c r="A36" s="42" t="s">
        <v>371</v>
      </c>
    </row>
    <row r="37" spans="1:1" x14ac:dyDescent="0.25">
      <c r="A37" s="42" t="s">
        <v>396</v>
      </c>
    </row>
    <row r="38" spans="1:1" x14ac:dyDescent="0.25">
      <c r="A38" s="42" t="s">
        <v>355</v>
      </c>
    </row>
    <row r="39" spans="1:1" x14ac:dyDescent="0.25">
      <c r="A39" s="42" t="s">
        <v>373</v>
      </c>
    </row>
    <row r="40" spans="1:1" x14ac:dyDescent="0.25">
      <c r="A40" s="42" t="s">
        <v>397</v>
      </c>
    </row>
    <row r="41" spans="1:1" x14ac:dyDescent="0.25">
      <c r="A41" s="42" t="s">
        <v>398</v>
      </c>
    </row>
    <row r="42" spans="1:1" x14ac:dyDescent="0.25">
      <c r="A42" s="40" t="s">
        <v>399</v>
      </c>
    </row>
    <row r="43" spans="1:1" x14ac:dyDescent="0.25">
      <c r="A43" s="42"/>
    </row>
    <row r="44" spans="1:1" x14ac:dyDescent="0.25">
      <c r="A44" s="42"/>
    </row>
    <row r="45" spans="1:1" x14ac:dyDescent="0.25">
      <c r="A45" s="41" t="s">
        <v>400</v>
      </c>
    </row>
    <row r="46" spans="1:1" x14ac:dyDescent="0.25">
      <c r="A46" s="42" t="s">
        <v>401</v>
      </c>
    </row>
    <row r="47" spans="1:1" x14ac:dyDescent="0.25">
      <c r="A47" s="42" t="s">
        <v>369</v>
      </c>
    </row>
    <row r="48" spans="1:1" x14ac:dyDescent="0.25">
      <c r="A48" s="42" t="s">
        <v>363</v>
      </c>
    </row>
    <row r="49" spans="1:1" x14ac:dyDescent="0.25">
      <c r="A49" s="42" t="s">
        <v>362</v>
      </c>
    </row>
    <row r="50" spans="1:1" x14ac:dyDescent="0.25">
      <c r="A50" s="42" t="s">
        <v>356</v>
      </c>
    </row>
    <row r="51" spans="1:1" x14ac:dyDescent="0.25">
      <c r="A51" s="42" t="s">
        <v>402</v>
      </c>
    </row>
    <row r="52" spans="1:1" x14ac:dyDescent="0.25">
      <c r="A52" s="42" t="s">
        <v>403</v>
      </c>
    </row>
    <row r="53" spans="1:1" x14ac:dyDescent="0.25">
      <c r="A53" s="42" t="s">
        <v>404</v>
      </c>
    </row>
    <row r="57" spans="1:1" x14ac:dyDescent="0.25">
      <c r="A57" s="46" t="s">
        <v>405</v>
      </c>
    </row>
    <row r="58" spans="1:1" x14ac:dyDescent="0.25">
      <c r="A58" s="46" t="s">
        <v>406</v>
      </c>
    </row>
    <row r="59" spans="1:1" x14ac:dyDescent="0.25">
      <c r="A59" s="46" t="s">
        <v>407</v>
      </c>
    </row>
    <row r="60" spans="1:1" x14ac:dyDescent="0.25">
      <c r="A60" s="46" t="s">
        <v>408</v>
      </c>
    </row>
    <row r="61" spans="1:1" x14ac:dyDescent="0.25">
      <c r="A61" s="46" t="s">
        <v>409</v>
      </c>
    </row>
    <row r="62" spans="1:1" x14ac:dyDescent="0.25">
      <c r="A62" s="46" t="s">
        <v>410</v>
      </c>
    </row>
    <row r="63" spans="1:1" x14ac:dyDescent="0.25">
      <c r="A63" s="46" t="s">
        <v>411</v>
      </c>
    </row>
    <row r="64" spans="1:1" x14ac:dyDescent="0.25">
      <c r="A64" s="46" t="s">
        <v>412</v>
      </c>
    </row>
    <row r="65" spans="1:7" x14ac:dyDescent="0.25">
      <c r="A65" s="46" t="s">
        <v>413</v>
      </c>
    </row>
    <row r="66" spans="1:7" x14ac:dyDescent="0.25">
      <c r="A66" s="46" t="s">
        <v>414</v>
      </c>
    </row>
    <row r="67" spans="1:7" x14ac:dyDescent="0.25">
      <c r="A67" s="46" t="s">
        <v>415</v>
      </c>
    </row>
    <row r="68" spans="1:7" x14ac:dyDescent="0.25">
      <c r="A68" s="46" t="s">
        <v>366</v>
      </c>
    </row>
    <row r="69" spans="1:7" x14ac:dyDescent="0.25">
      <c r="A69" s="46" t="s">
        <v>367</v>
      </c>
    </row>
    <row r="70" spans="1:7" x14ac:dyDescent="0.25">
      <c r="A70" s="46" t="s">
        <v>368</v>
      </c>
    </row>
    <row r="73" spans="1:7" ht="25.5" x14ac:dyDescent="0.25">
      <c r="B73" s="47" t="s">
        <v>58</v>
      </c>
      <c r="C73" s="47" t="s">
        <v>59</v>
      </c>
      <c r="D73" s="48" t="s">
        <v>61</v>
      </c>
      <c r="E73" s="48" t="s">
        <v>62</v>
      </c>
      <c r="F73" s="48" t="s">
        <v>60</v>
      </c>
      <c r="G73" s="48" t="s">
        <v>416</v>
      </c>
    </row>
    <row r="74" spans="1:7" ht="38.25" x14ac:dyDescent="0.25">
      <c r="B74" s="49" t="s">
        <v>0</v>
      </c>
      <c r="C74" s="50" t="s">
        <v>63</v>
      </c>
      <c r="D74" s="51" t="s">
        <v>65</v>
      </c>
      <c r="E74" s="52">
        <v>1</v>
      </c>
      <c r="F74" s="51" t="s">
        <v>417</v>
      </c>
      <c r="G74" s="53" t="s">
        <v>353</v>
      </c>
    </row>
    <row r="75" spans="1:7" ht="38.25" x14ac:dyDescent="0.25">
      <c r="B75" s="49" t="s">
        <v>0</v>
      </c>
      <c r="C75" s="50" t="s">
        <v>63</v>
      </c>
      <c r="D75" s="51" t="s">
        <v>67</v>
      </c>
      <c r="E75" s="52">
        <v>2</v>
      </c>
      <c r="F75" s="51" t="s">
        <v>418</v>
      </c>
      <c r="G75" s="53" t="s">
        <v>353</v>
      </c>
    </row>
    <row r="76" spans="1:7" ht="38.25" x14ac:dyDescent="0.25">
      <c r="B76" s="49" t="s">
        <v>0</v>
      </c>
      <c r="C76" s="50" t="s">
        <v>63</v>
      </c>
      <c r="D76" s="51" t="s">
        <v>69</v>
      </c>
      <c r="E76" s="52">
        <v>3</v>
      </c>
      <c r="F76" s="51" t="s">
        <v>418</v>
      </c>
      <c r="G76" s="53" t="s">
        <v>353</v>
      </c>
    </row>
    <row r="77" spans="1:7" ht="38.25" x14ac:dyDescent="0.25">
      <c r="B77" s="49" t="s">
        <v>0</v>
      </c>
      <c r="C77" s="50" t="s">
        <v>70</v>
      </c>
      <c r="D77" s="51" t="s">
        <v>72</v>
      </c>
      <c r="E77" s="52">
        <v>4</v>
      </c>
      <c r="F77" s="51" t="s">
        <v>419</v>
      </c>
      <c r="G77" s="54" t="s">
        <v>382</v>
      </c>
    </row>
    <row r="78" spans="1:7" ht="38.25" x14ac:dyDescent="0.25">
      <c r="B78" s="49" t="s">
        <v>0</v>
      </c>
      <c r="C78" s="50" t="s">
        <v>70</v>
      </c>
      <c r="D78" s="51" t="s">
        <v>76</v>
      </c>
      <c r="E78" s="52">
        <v>5</v>
      </c>
      <c r="F78" s="51" t="s">
        <v>419</v>
      </c>
      <c r="G78" s="55" t="s">
        <v>382</v>
      </c>
    </row>
    <row r="79" spans="1:7" ht="38.25" x14ac:dyDescent="0.25">
      <c r="B79" s="49" t="s">
        <v>0</v>
      </c>
      <c r="C79" s="50" t="s">
        <v>70</v>
      </c>
      <c r="D79" s="56" t="s">
        <v>74</v>
      </c>
      <c r="E79" s="52">
        <v>6</v>
      </c>
      <c r="F79" s="51" t="s">
        <v>420</v>
      </c>
      <c r="G79" s="54" t="s">
        <v>382</v>
      </c>
    </row>
    <row r="80" spans="1:7" ht="38.25" x14ac:dyDescent="0.25">
      <c r="B80" s="49" t="s">
        <v>0</v>
      </c>
      <c r="C80" s="50" t="s">
        <v>77</v>
      </c>
      <c r="D80" s="56" t="s">
        <v>78</v>
      </c>
      <c r="E80" s="52">
        <v>7</v>
      </c>
      <c r="F80" s="51" t="s">
        <v>421</v>
      </c>
      <c r="G80" s="53" t="s">
        <v>370</v>
      </c>
    </row>
    <row r="81" spans="2:7" ht="63.75" x14ac:dyDescent="0.25">
      <c r="B81" s="53" t="s">
        <v>0</v>
      </c>
      <c r="C81" s="57" t="s">
        <v>79</v>
      </c>
      <c r="D81" s="56" t="s">
        <v>85</v>
      </c>
      <c r="E81" s="52">
        <v>8</v>
      </c>
      <c r="F81" s="51" t="s">
        <v>421</v>
      </c>
      <c r="G81" s="53" t="s">
        <v>370</v>
      </c>
    </row>
    <row r="82" spans="2:7" ht="38.25" x14ac:dyDescent="0.25">
      <c r="B82" s="49" t="s">
        <v>0</v>
      </c>
      <c r="C82" s="50" t="s">
        <v>79</v>
      </c>
      <c r="D82" s="58" t="s">
        <v>80</v>
      </c>
      <c r="E82" s="52">
        <v>9</v>
      </c>
      <c r="F82" s="59" t="s">
        <v>422</v>
      </c>
      <c r="G82" s="54" t="s">
        <v>370</v>
      </c>
    </row>
    <row r="83" spans="2:7" ht="38.25" x14ac:dyDescent="0.25">
      <c r="B83" s="53" t="s">
        <v>0</v>
      </c>
      <c r="C83" s="57" t="s">
        <v>79</v>
      </c>
      <c r="D83" s="56" t="s">
        <v>83</v>
      </c>
      <c r="E83" s="52">
        <v>10</v>
      </c>
      <c r="F83" s="59" t="s">
        <v>422</v>
      </c>
      <c r="G83" s="54" t="s">
        <v>370</v>
      </c>
    </row>
    <row r="84" spans="2:7" ht="38.25" x14ac:dyDescent="0.25">
      <c r="B84" s="53" t="s">
        <v>0</v>
      </c>
      <c r="C84" s="57" t="s">
        <v>79</v>
      </c>
      <c r="D84" s="56" t="s">
        <v>81</v>
      </c>
      <c r="E84" s="52">
        <v>11</v>
      </c>
      <c r="F84" s="51" t="s">
        <v>423</v>
      </c>
      <c r="G84" s="53" t="s">
        <v>370</v>
      </c>
    </row>
    <row r="85" spans="2:7" ht="51" x14ac:dyDescent="0.25">
      <c r="B85" s="53" t="s">
        <v>0</v>
      </c>
      <c r="C85" s="57" t="s">
        <v>79</v>
      </c>
      <c r="D85" s="56" t="s">
        <v>82</v>
      </c>
      <c r="E85" s="52">
        <v>12</v>
      </c>
      <c r="F85" s="51" t="s">
        <v>424</v>
      </c>
      <c r="G85" s="53" t="s">
        <v>370</v>
      </c>
    </row>
    <row r="86" spans="2:7" ht="51" x14ac:dyDescent="0.25">
      <c r="B86" s="53" t="s">
        <v>0</v>
      </c>
      <c r="C86" s="57" t="s">
        <v>79</v>
      </c>
      <c r="D86" s="56" t="s">
        <v>84</v>
      </c>
      <c r="E86" s="52">
        <v>13</v>
      </c>
      <c r="F86" s="51" t="s">
        <v>424</v>
      </c>
      <c r="G86" s="53" t="s">
        <v>370</v>
      </c>
    </row>
    <row r="87" spans="2:7" ht="76.5" x14ac:dyDescent="0.25">
      <c r="B87" s="53" t="s">
        <v>0</v>
      </c>
      <c r="C87" s="57" t="s">
        <v>86</v>
      </c>
      <c r="D87" s="56" t="s">
        <v>87</v>
      </c>
      <c r="E87" s="52">
        <v>14</v>
      </c>
      <c r="F87" s="51" t="s">
        <v>425</v>
      </c>
      <c r="G87" s="53" t="s">
        <v>384</v>
      </c>
    </row>
    <row r="88" spans="2:7" ht="89.25" x14ac:dyDescent="0.25">
      <c r="B88" s="53" t="s">
        <v>0</v>
      </c>
      <c r="C88" s="57" t="s">
        <v>88</v>
      </c>
      <c r="D88" s="51" t="s">
        <v>426</v>
      </c>
      <c r="E88" s="52">
        <v>15</v>
      </c>
      <c r="F88" s="51" t="s">
        <v>425</v>
      </c>
      <c r="G88" s="53" t="s">
        <v>379</v>
      </c>
    </row>
    <row r="89" spans="2:7" ht="76.5" x14ac:dyDescent="0.25">
      <c r="B89" s="60" t="s">
        <v>0</v>
      </c>
      <c r="C89" s="57" t="s">
        <v>88</v>
      </c>
      <c r="D89" s="61" t="s">
        <v>90</v>
      </c>
      <c r="E89" s="52">
        <v>16</v>
      </c>
      <c r="F89" s="59" t="s">
        <v>427</v>
      </c>
      <c r="G89" s="53" t="s">
        <v>353</v>
      </c>
    </row>
    <row r="90" spans="2:7" ht="63.75" x14ac:dyDescent="0.25">
      <c r="B90" s="53" t="s">
        <v>0</v>
      </c>
      <c r="C90" s="57" t="s">
        <v>88</v>
      </c>
      <c r="D90" s="51" t="s">
        <v>91</v>
      </c>
      <c r="E90" s="52">
        <v>17</v>
      </c>
      <c r="F90" s="59" t="s">
        <v>427</v>
      </c>
      <c r="G90" s="53" t="s">
        <v>353</v>
      </c>
    </row>
    <row r="91" spans="2:7" ht="63.75" x14ac:dyDescent="0.25">
      <c r="B91" s="53" t="s">
        <v>0</v>
      </c>
      <c r="C91" s="57" t="s">
        <v>88</v>
      </c>
      <c r="D91" s="51" t="s">
        <v>93</v>
      </c>
      <c r="E91" s="52">
        <v>18</v>
      </c>
      <c r="F91" s="59" t="s">
        <v>427</v>
      </c>
      <c r="G91" s="53" t="s">
        <v>353</v>
      </c>
    </row>
    <row r="92" spans="2:7" ht="63.75" x14ac:dyDescent="0.25">
      <c r="B92" s="53" t="s">
        <v>0</v>
      </c>
      <c r="C92" s="57" t="s">
        <v>88</v>
      </c>
      <c r="D92" s="51" t="s">
        <v>95</v>
      </c>
      <c r="E92" s="52">
        <v>19</v>
      </c>
      <c r="F92" s="59" t="s">
        <v>427</v>
      </c>
      <c r="G92" s="53" t="s">
        <v>353</v>
      </c>
    </row>
    <row r="93" spans="2:7" ht="38.25" x14ac:dyDescent="0.25">
      <c r="B93" s="53" t="s">
        <v>0</v>
      </c>
      <c r="C93" s="57" t="s">
        <v>96</v>
      </c>
      <c r="D93" s="51" t="s">
        <v>97</v>
      </c>
      <c r="E93" s="52">
        <v>20</v>
      </c>
      <c r="F93" s="51" t="s">
        <v>428</v>
      </c>
      <c r="G93" s="53" t="s">
        <v>379</v>
      </c>
    </row>
    <row r="94" spans="2:7" ht="51" x14ac:dyDescent="0.25">
      <c r="B94" s="53" t="s">
        <v>0</v>
      </c>
      <c r="C94" s="57" t="s">
        <v>96</v>
      </c>
      <c r="D94" s="56" t="s">
        <v>98</v>
      </c>
      <c r="E94" s="52">
        <v>21</v>
      </c>
      <c r="F94" s="51" t="s">
        <v>428</v>
      </c>
      <c r="G94" s="53" t="s">
        <v>379</v>
      </c>
    </row>
    <row r="95" spans="2:7" ht="38.25" x14ac:dyDescent="0.25">
      <c r="B95" s="53" t="s">
        <v>0</v>
      </c>
      <c r="C95" s="57" t="s">
        <v>99</v>
      </c>
      <c r="D95" s="51" t="s">
        <v>100</v>
      </c>
      <c r="E95" s="52">
        <v>22</v>
      </c>
      <c r="F95" s="51" t="s">
        <v>428</v>
      </c>
      <c r="G95" s="53" t="s">
        <v>379</v>
      </c>
    </row>
    <row r="96" spans="2:7" ht="25.5" x14ac:dyDescent="0.25">
      <c r="B96" s="53" t="s">
        <v>0</v>
      </c>
      <c r="C96" s="57" t="s">
        <v>101</v>
      </c>
      <c r="D96" s="51" t="s">
        <v>103</v>
      </c>
      <c r="E96" s="52">
        <v>23</v>
      </c>
      <c r="F96" s="51" t="s">
        <v>429</v>
      </c>
      <c r="G96" s="53" t="s">
        <v>430</v>
      </c>
    </row>
    <row r="97" spans="2:7" ht="25.5" x14ac:dyDescent="0.25">
      <c r="B97" s="53" t="s">
        <v>0</v>
      </c>
      <c r="C97" s="57" t="s">
        <v>101</v>
      </c>
      <c r="D97" s="51" t="s">
        <v>104</v>
      </c>
      <c r="E97" s="52">
        <v>24</v>
      </c>
      <c r="F97" s="51" t="s">
        <v>429</v>
      </c>
      <c r="G97" s="53" t="s">
        <v>430</v>
      </c>
    </row>
    <row r="98" spans="2:7" ht="51" x14ac:dyDescent="0.25">
      <c r="B98" s="53" t="s">
        <v>0</v>
      </c>
      <c r="C98" s="57" t="s">
        <v>101</v>
      </c>
      <c r="D98" s="56" t="s">
        <v>259</v>
      </c>
      <c r="E98" s="52">
        <v>25</v>
      </c>
      <c r="F98" s="59" t="s">
        <v>431</v>
      </c>
      <c r="G98" s="54" t="s">
        <v>430</v>
      </c>
    </row>
    <row r="99" spans="2:7" ht="25.5" x14ac:dyDescent="0.25">
      <c r="B99" s="53" t="s">
        <v>0</v>
      </c>
      <c r="C99" s="57" t="s">
        <v>101</v>
      </c>
      <c r="D99" s="51" t="s">
        <v>106</v>
      </c>
      <c r="E99" s="52">
        <v>26</v>
      </c>
      <c r="F99" s="59" t="s">
        <v>431</v>
      </c>
      <c r="G99" s="54" t="s">
        <v>430</v>
      </c>
    </row>
    <row r="100" spans="2:7" ht="38.25" x14ac:dyDescent="0.25">
      <c r="B100" s="53" t="s">
        <v>0</v>
      </c>
      <c r="C100" s="57" t="s">
        <v>101</v>
      </c>
      <c r="D100" s="62" t="s">
        <v>107</v>
      </c>
      <c r="E100" s="52">
        <v>27</v>
      </c>
      <c r="F100" s="59" t="s">
        <v>432</v>
      </c>
      <c r="G100" s="54" t="s">
        <v>430</v>
      </c>
    </row>
    <row r="101" spans="2:7" ht="51" x14ac:dyDescent="0.25">
      <c r="B101" s="53" t="s">
        <v>0</v>
      </c>
      <c r="C101" s="57" t="s">
        <v>101</v>
      </c>
      <c r="D101" s="63" t="s">
        <v>108</v>
      </c>
      <c r="E101" s="52">
        <v>28</v>
      </c>
      <c r="F101" s="59" t="s">
        <v>433</v>
      </c>
      <c r="G101" s="54" t="s">
        <v>430</v>
      </c>
    </row>
    <row r="102" spans="2:7" ht="38.25" x14ac:dyDescent="0.25">
      <c r="B102" s="53" t="s">
        <v>0</v>
      </c>
      <c r="C102" s="57" t="s">
        <v>101</v>
      </c>
      <c r="D102" s="61" t="s">
        <v>109</v>
      </c>
      <c r="E102" s="52">
        <v>29</v>
      </c>
      <c r="F102" s="59" t="s">
        <v>432</v>
      </c>
      <c r="G102" s="54" t="s">
        <v>430</v>
      </c>
    </row>
    <row r="103" spans="2:7" ht="38.25" x14ac:dyDescent="0.25">
      <c r="B103" s="53" t="s">
        <v>0</v>
      </c>
      <c r="C103" s="57" t="s">
        <v>101</v>
      </c>
      <c r="D103" s="51" t="s">
        <v>110</v>
      </c>
      <c r="E103" s="52">
        <v>30</v>
      </c>
      <c r="F103" s="59" t="s">
        <v>434</v>
      </c>
      <c r="G103" s="54" t="s">
        <v>430</v>
      </c>
    </row>
    <row r="104" spans="2:7" ht="38.25" x14ac:dyDescent="0.25">
      <c r="B104" s="53" t="s">
        <v>0</v>
      </c>
      <c r="C104" s="57" t="s">
        <v>101</v>
      </c>
      <c r="D104" s="51" t="s">
        <v>111</v>
      </c>
      <c r="E104" s="52">
        <v>31</v>
      </c>
      <c r="F104" s="59" t="s">
        <v>434</v>
      </c>
      <c r="G104" s="54" t="s">
        <v>430</v>
      </c>
    </row>
    <row r="105" spans="2:7" ht="38.25" x14ac:dyDescent="0.25">
      <c r="B105" s="53" t="s">
        <v>0</v>
      </c>
      <c r="C105" s="57" t="s">
        <v>101</v>
      </c>
      <c r="D105" s="56" t="s">
        <v>112</v>
      </c>
      <c r="E105" s="52">
        <v>32</v>
      </c>
      <c r="F105" s="59" t="s">
        <v>434</v>
      </c>
      <c r="G105" s="54" t="s">
        <v>430</v>
      </c>
    </row>
    <row r="106" spans="2:7" ht="38.25" x14ac:dyDescent="0.25">
      <c r="B106" s="53" t="s">
        <v>0</v>
      </c>
      <c r="C106" s="57" t="s">
        <v>101</v>
      </c>
      <c r="D106" s="51" t="s">
        <v>113</v>
      </c>
      <c r="E106" s="52">
        <v>33</v>
      </c>
      <c r="F106" s="59" t="s">
        <v>434</v>
      </c>
      <c r="G106" s="54" t="s">
        <v>430</v>
      </c>
    </row>
    <row r="107" spans="2:7" ht="51" x14ac:dyDescent="0.25">
      <c r="B107" s="53" t="s">
        <v>0</v>
      </c>
      <c r="C107" s="57" t="s">
        <v>101</v>
      </c>
      <c r="D107" s="51" t="s">
        <v>435</v>
      </c>
      <c r="E107" s="52">
        <v>34</v>
      </c>
      <c r="F107" s="59" t="s">
        <v>434</v>
      </c>
      <c r="G107" s="54" t="s">
        <v>430</v>
      </c>
    </row>
    <row r="108" spans="2:7" ht="25.5" x14ac:dyDescent="0.25">
      <c r="B108" s="53" t="s">
        <v>0</v>
      </c>
      <c r="C108" s="57" t="s">
        <v>101</v>
      </c>
      <c r="D108" s="56" t="s">
        <v>274</v>
      </c>
      <c r="E108" s="52">
        <v>35</v>
      </c>
      <c r="F108" s="59" t="s">
        <v>436</v>
      </c>
      <c r="G108" s="54" t="s">
        <v>430</v>
      </c>
    </row>
    <row r="109" spans="2:7" ht="25.5" x14ac:dyDescent="0.25">
      <c r="B109" s="64" t="s">
        <v>0</v>
      </c>
      <c r="C109" s="57" t="s">
        <v>101</v>
      </c>
      <c r="D109" s="56" t="s">
        <v>118</v>
      </c>
      <c r="E109" s="52">
        <v>36</v>
      </c>
      <c r="F109" s="59" t="s">
        <v>436</v>
      </c>
      <c r="G109" s="54" t="s">
        <v>430</v>
      </c>
    </row>
    <row r="110" spans="2:7" ht="25.5" x14ac:dyDescent="0.25">
      <c r="B110" s="64" t="s">
        <v>0</v>
      </c>
      <c r="C110" s="57" t="s">
        <v>101</v>
      </c>
      <c r="D110" s="56" t="s">
        <v>119</v>
      </c>
      <c r="E110" s="52">
        <v>37</v>
      </c>
      <c r="F110" s="59" t="s">
        <v>436</v>
      </c>
      <c r="G110" s="54" t="s">
        <v>430</v>
      </c>
    </row>
    <row r="111" spans="2:7" ht="51" x14ac:dyDescent="0.25">
      <c r="B111" s="53" t="s">
        <v>0</v>
      </c>
      <c r="C111" s="57" t="s">
        <v>120</v>
      </c>
      <c r="D111" s="51" t="s">
        <v>122</v>
      </c>
      <c r="E111" s="52">
        <v>38</v>
      </c>
      <c r="F111" s="51" t="s">
        <v>437</v>
      </c>
      <c r="G111" s="53" t="s">
        <v>372</v>
      </c>
    </row>
    <row r="112" spans="2:7" ht="76.5" x14ac:dyDescent="0.25">
      <c r="B112" s="53" t="s">
        <v>0</v>
      </c>
      <c r="C112" s="57" t="s">
        <v>123</v>
      </c>
      <c r="D112" s="51" t="s">
        <v>438</v>
      </c>
      <c r="E112" s="52">
        <v>39</v>
      </c>
      <c r="F112" s="59" t="s">
        <v>439</v>
      </c>
      <c r="G112" s="53" t="s">
        <v>372</v>
      </c>
    </row>
    <row r="113" spans="2:7" ht="51" x14ac:dyDescent="0.25">
      <c r="B113" s="65" t="s">
        <v>2</v>
      </c>
      <c r="C113" s="66" t="s">
        <v>22</v>
      </c>
      <c r="D113" s="63" t="s">
        <v>125</v>
      </c>
      <c r="E113" s="52">
        <v>40</v>
      </c>
      <c r="F113" s="67" t="s">
        <v>440</v>
      </c>
      <c r="G113" s="55" t="s">
        <v>376</v>
      </c>
    </row>
    <row r="114" spans="2:7" ht="76.5" x14ac:dyDescent="0.25">
      <c r="B114" s="64" t="s">
        <v>2</v>
      </c>
      <c r="C114" s="57" t="s">
        <v>126</v>
      </c>
      <c r="D114" s="51" t="s">
        <v>441</v>
      </c>
      <c r="E114" s="52">
        <v>41</v>
      </c>
      <c r="F114" s="59" t="s">
        <v>440</v>
      </c>
      <c r="G114" s="54" t="s">
        <v>376</v>
      </c>
    </row>
    <row r="115" spans="2:7" ht="51" x14ac:dyDescent="0.25">
      <c r="B115" s="64" t="s">
        <v>2</v>
      </c>
      <c r="C115" s="57" t="s">
        <v>126</v>
      </c>
      <c r="D115" s="51" t="s">
        <v>442</v>
      </c>
      <c r="E115" s="52">
        <v>42</v>
      </c>
      <c r="F115" s="59" t="s">
        <v>440</v>
      </c>
      <c r="G115" s="54" t="s">
        <v>376</v>
      </c>
    </row>
    <row r="116" spans="2:7" ht="76.5" x14ac:dyDescent="0.25">
      <c r="B116" s="64" t="s">
        <v>2</v>
      </c>
      <c r="C116" s="57" t="s">
        <v>126</v>
      </c>
      <c r="D116" s="51" t="s">
        <v>128</v>
      </c>
      <c r="E116" s="52">
        <v>43</v>
      </c>
      <c r="F116" s="59" t="s">
        <v>440</v>
      </c>
      <c r="G116" s="54" t="s">
        <v>376</v>
      </c>
    </row>
    <row r="117" spans="2:7" ht="76.5" x14ac:dyDescent="0.25">
      <c r="B117" s="64" t="s">
        <v>2</v>
      </c>
      <c r="C117" s="57" t="s">
        <v>126</v>
      </c>
      <c r="D117" s="56" t="s">
        <v>129</v>
      </c>
      <c r="E117" s="52">
        <v>44</v>
      </c>
      <c r="F117" s="51" t="s">
        <v>443</v>
      </c>
      <c r="G117" s="54" t="s">
        <v>376</v>
      </c>
    </row>
    <row r="118" spans="2:7" ht="51" x14ac:dyDescent="0.25">
      <c r="B118" s="64" t="s">
        <v>2</v>
      </c>
      <c r="C118" s="57" t="s">
        <v>126</v>
      </c>
      <c r="D118" s="58" t="s">
        <v>444</v>
      </c>
      <c r="E118" s="52">
        <v>45</v>
      </c>
      <c r="F118" s="59" t="s">
        <v>440</v>
      </c>
      <c r="G118" s="54" t="s">
        <v>376</v>
      </c>
    </row>
    <row r="119" spans="2:7" ht="25.5" x14ac:dyDescent="0.25">
      <c r="B119" s="53" t="s">
        <v>2</v>
      </c>
      <c r="C119" s="57" t="s">
        <v>130</v>
      </c>
      <c r="D119" s="61" t="s">
        <v>132</v>
      </c>
      <c r="E119" s="52">
        <v>46</v>
      </c>
      <c r="F119" s="59" t="s">
        <v>445</v>
      </c>
      <c r="G119" s="54" t="s">
        <v>381</v>
      </c>
    </row>
    <row r="120" spans="2:7" ht="25.5" x14ac:dyDescent="0.25">
      <c r="B120" s="53" t="s">
        <v>2</v>
      </c>
      <c r="C120" s="57" t="s">
        <v>130</v>
      </c>
      <c r="D120" s="61" t="s">
        <v>134</v>
      </c>
      <c r="E120" s="52">
        <v>47</v>
      </c>
      <c r="F120" s="59" t="s">
        <v>445</v>
      </c>
      <c r="G120" s="54" t="s">
        <v>381</v>
      </c>
    </row>
    <row r="121" spans="2:7" ht="25.5" x14ac:dyDescent="0.25">
      <c r="B121" s="53" t="s">
        <v>2</v>
      </c>
      <c r="C121" s="57" t="s">
        <v>130</v>
      </c>
      <c r="D121" s="51" t="s">
        <v>136</v>
      </c>
      <c r="E121" s="52">
        <v>48</v>
      </c>
      <c r="F121" s="59" t="s">
        <v>445</v>
      </c>
      <c r="G121" s="54" t="s">
        <v>381</v>
      </c>
    </row>
    <row r="122" spans="2:7" ht="25.5" x14ac:dyDescent="0.25">
      <c r="B122" s="53" t="s">
        <v>2</v>
      </c>
      <c r="C122" s="57" t="s">
        <v>130</v>
      </c>
      <c r="D122" s="51" t="s">
        <v>137</v>
      </c>
      <c r="E122" s="52">
        <v>49</v>
      </c>
      <c r="F122" s="59" t="s">
        <v>445</v>
      </c>
      <c r="G122" s="54" t="s">
        <v>381</v>
      </c>
    </row>
    <row r="123" spans="2:7" ht="25.5" x14ac:dyDescent="0.25">
      <c r="B123" s="64" t="s">
        <v>2</v>
      </c>
      <c r="C123" s="57" t="s">
        <v>130</v>
      </c>
      <c r="D123" s="51" t="s">
        <v>139</v>
      </c>
      <c r="E123" s="52">
        <v>50</v>
      </c>
      <c r="F123" s="59" t="s">
        <v>446</v>
      </c>
      <c r="G123" s="54" t="s">
        <v>381</v>
      </c>
    </row>
    <row r="124" spans="2:7" ht="25.5" x14ac:dyDescent="0.25">
      <c r="B124" s="53" t="s">
        <v>2</v>
      </c>
      <c r="C124" s="57" t="s">
        <v>130</v>
      </c>
      <c r="D124" s="51" t="s">
        <v>141</v>
      </c>
      <c r="E124" s="52">
        <v>51</v>
      </c>
      <c r="F124" s="59" t="s">
        <v>446</v>
      </c>
      <c r="G124" s="54" t="s">
        <v>381</v>
      </c>
    </row>
    <row r="125" spans="2:7" ht="38.25" x14ac:dyDescent="0.25">
      <c r="B125" s="53" t="s">
        <v>2</v>
      </c>
      <c r="C125" s="57" t="s">
        <v>130</v>
      </c>
      <c r="D125" s="51" t="s">
        <v>447</v>
      </c>
      <c r="E125" s="52">
        <v>52</v>
      </c>
      <c r="F125" s="59" t="s">
        <v>446</v>
      </c>
      <c r="G125" s="54" t="s">
        <v>381</v>
      </c>
    </row>
    <row r="126" spans="2:7" ht="51" x14ac:dyDescent="0.25">
      <c r="B126" s="53" t="s">
        <v>2</v>
      </c>
      <c r="C126" s="57" t="s">
        <v>130</v>
      </c>
      <c r="D126" s="51" t="s">
        <v>448</v>
      </c>
      <c r="E126" s="52">
        <v>53</v>
      </c>
      <c r="F126" s="59" t="s">
        <v>446</v>
      </c>
      <c r="G126" s="54" t="s">
        <v>381</v>
      </c>
    </row>
    <row r="127" spans="2:7" ht="51" x14ac:dyDescent="0.25">
      <c r="B127" s="53" t="s">
        <v>2</v>
      </c>
      <c r="C127" s="57" t="s">
        <v>142</v>
      </c>
      <c r="D127" s="51" t="s">
        <v>143</v>
      </c>
      <c r="E127" s="52">
        <v>54</v>
      </c>
      <c r="F127" s="59" t="s">
        <v>449</v>
      </c>
      <c r="G127" s="53" t="s">
        <v>379</v>
      </c>
    </row>
    <row r="128" spans="2:7" ht="38.25" x14ac:dyDescent="0.25">
      <c r="B128" s="53" t="s">
        <v>2</v>
      </c>
      <c r="C128" s="57" t="s">
        <v>142</v>
      </c>
      <c r="D128" s="61" t="s">
        <v>144</v>
      </c>
      <c r="E128" s="52">
        <v>55</v>
      </c>
      <c r="F128" s="59" t="s">
        <v>449</v>
      </c>
      <c r="G128" s="53" t="s">
        <v>379</v>
      </c>
    </row>
    <row r="129" spans="2:7" ht="38.25" x14ac:dyDescent="0.25">
      <c r="B129" s="53" t="s">
        <v>2</v>
      </c>
      <c r="C129" s="57" t="s">
        <v>142</v>
      </c>
      <c r="D129" s="51" t="s">
        <v>145</v>
      </c>
      <c r="E129" s="52">
        <v>56</v>
      </c>
      <c r="F129" s="59" t="s">
        <v>449</v>
      </c>
      <c r="G129" s="53" t="s">
        <v>379</v>
      </c>
    </row>
    <row r="130" spans="2:7" ht="76.5" x14ac:dyDescent="0.25">
      <c r="B130" s="53" t="s">
        <v>2</v>
      </c>
      <c r="C130" s="57" t="s">
        <v>146</v>
      </c>
      <c r="D130" s="56" t="s">
        <v>147</v>
      </c>
      <c r="E130" s="52">
        <v>57</v>
      </c>
      <c r="F130" s="51" t="s">
        <v>450</v>
      </c>
      <c r="G130" s="54" t="s">
        <v>376</v>
      </c>
    </row>
    <row r="131" spans="2:7" ht="38.25" x14ac:dyDescent="0.25">
      <c r="B131" s="53" t="s">
        <v>2</v>
      </c>
      <c r="C131" s="57" t="s">
        <v>146</v>
      </c>
      <c r="D131" s="51" t="s">
        <v>280</v>
      </c>
      <c r="E131" s="52">
        <v>58</v>
      </c>
      <c r="F131" s="51" t="s">
        <v>450</v>
      </c>
      <c r="G131" s="54" t="s">
        <v>376</v>
      </c>
    </row>
    <row r="132" spans="2:7" ht="51" x14ac:dyDescent="0.25">
      <c r="B132" s="53" t="s">
        <v>2</v>
      </c>
      <c r="C132" s="57" t="s">
        <v>149</v>
      </c>
      <c r="D132" s="56" t="s">
        <v>150</v>
      </c>
      <c r="E132" s="52">
        <v>59</v>
      </c>
      <c r="F132" s="51" t="s">
        <v>451</v>
      </c>
      <c r="G132" s="54" t="s">
        <v>376</v>
      </c>
    </row>
    <row r="133" spans="2:7" ht="63.75" x14ac:dyDescent="0.25">
      <c r="B133" s="53" t="s">
        <v>2</v>
      </c>
      <c r="C133" s="57" t="s">
        <v>149</v>
      </c>
      <c r="D133" s="51" t="s">
        <v>151</v>
      </c>
      <c r="E133" s="52">
        <v>60</v>
      </c>
      <c r="F133" s="51" t="s">
        <v>440</v>
      </c>
      <c r="G133" s="54" t="s">
        <v>376</v>
      </c>
    </row>
    <row r="134" spans="2:7" ht="51" x14ac:dyDescent="0.25">
      <c r="B134" s="53" t="s">
        <v>4</v>
      </c>
      <c r="C134" s="57" t="s">
        <v>152</v>
      </c>
      <c r="D134" s="58" t="s">
        <v>153</v>
      </c>
      <c r="E134" s="52">
        <v>61</v>
      </c>
      <c r="F134" s="59" t="s">
        <v>425</v>
      </c>
      <c r="G134" s="53" t="s">
        <v>379</v>
      </c>
    </row>
    <row r="135" spans="2:7" ht="51" x14ac:dyDescent="0.25">
      <c r="B135" s="53" t="s">
        <v>4</v>
      </c>
      <c r="C135" s="57" t="s">
        <v>152</v>
      </c>
      <c r="D135" s="51" t="s">
        <v>154</v>
      </c>
      <c r="E135" s="52">
        <v>62</v>
      </c>
      <c r="F135" s="59" t="s">
        <v>425</v>
      </c>
      <c r="G135" s="53" t="s">
        <v>353</v>
      </c>
    </row>
    <row r="136" spans="2:7" ht="38.25" x14ac:dyDescent="0.25">
      <c r="B136" s="53" t="s">
        <v>4</v>
      </c>
      <c r="C136" s="57" t="s">
        <v>152</v>
      </c>
      <c r="D136" s="51" t="s">
        <v>155</v>
      </c>
      <c r="E136" s="52">
        <v>63</v>
      </c>
      <c r="F136" s="59" t="s">
        <v>425</v>
      </c>
      <c r="G136" s="53" t="s">
        <v>379</v>
      </c>
    </row>
    <row r="137" spans="2:7" ht="38.25" x14ac:dyDescent="0.25">
      <c r="B137" s="53" t="s">
        <v>4</v>
      </c>
      <c r="C137" s="57" t="s">
        <v>152</v>
      </c>
      <c r="D137" s="51" t="s">
        <v>156</v>
      </c>
      <c r="E137" s="52">
        <v>64</v>
      </c>
      <c r="F137" s="59" t="s">
        <v>425</v>
      </c>
      <c r="G137" s="53" t="s">
        <v>379</v>
      </c>
    </row>
    <row r="138" spans="2:7" ht="38.25" x14ac:dyDescent="0.25">
      <c r="B138" s="53" t="s">
        <v>4</v>
      </c>
      <c r="C138" s="57" t="s">
        <v>152</v>
      </c>
      <c r="D138" s="51" t="s">
        <v>158</v>
      </c>
      <c r="E138" s="52">
        <v>65</v>
      </c>
      <c r="F138" s="59" t="s">
        <v>425</v>
      </c>
      <c r="G138" s="53" t="s">
        <v>379</v>
      </c>
    </row>
    <row r="139" spans="2:7" ht="38.25" x14ac:dyDescent="0.25">
      <c r="B139" s="53" t="s">
        <v>4</v>
      </c>
      <c r="C139" s="57" t="s">
        <v>152</v>
      </c>
      <c r="D139" s="51" t="s">
        <v>159</v>
      </c>
      <c r="E139" s="52">
        <v>66</v>
      </c>
      <c r="F139" s="59" t="s">
        <v>425</v>
      </c>
      <c r="G139" s="53" t="s">
        <v>379</v>
      </c>
    </row>
    <row r="140" spans="2:7" ht="38.25" x14ac:dyDescent="0.25">
      <c r="B140" s="53" t="s">
        <v>4</v>
      </c>
      <c r="C140" s="57" t="s">
        <v>452</v>
      </c>
      <c r="D140" s="51" t="s">
        <v>453</v>
      </c>
      <c r="E140" s="52">
        <v>67</v>
      </c>
      <c r="F140" s="59" t="s">
        <v>425</v>
      </c>
      <c r="G140" s="55" t="s">
        <v>382</v>
      </c>
    </row>
    <row r="141" spans="2:7" ht="89.25" x14ac:dyDescent="0.25">
      <c r="B141" s="53" t="s">
        <v>4</v>
      </c>
      <c r="C141" s="57" t="s">
        <v>160</v>
      </c>
      <c r="D141" s="51" t="s">
        <v>161</v>
      </c>
      <c r="E141" s="52">
        <v>68</v>
      </c>
      <c r="F141" s="59" t="s">
        <v>428</v>
      </c>
      <c r="G141" s="53" t="s">
        <v>379</v>
      </c>
    </row>
    <row r="142" spans="2:7" ht="76.5" x14ac:dyDescent="0.25">
      <c r="B142" s="53" t="s">
        <v>4</v>
      </c>
      <c r="C142" s="57" t="s">
        <v>160</v>
      </c>
      <c r="D142" s="58" t="s">
        <v>331</v>
      </c>
      <c r="E142" s="52">
        <v>69</v>
      </c>
      <c r="F142" s="59" t="s">
        <v>428</v>
      </c>
      <c r="G142" s="53" t="s">
        <v>379</v>
      </c>
    </row>
    <row r="143" spans="2:7" ht="38.25" x14ac:dyDescent="0.25">
      <c r="B143" s="53" t="s">
        <v>4</v>
      </c>
      <c r="C143" s="57" t="s">
        <v>164</v>
      </c>
      <c r="D143" s="58" t="s">
        <v>454</v>
      </c>
      <c r="E143" s="52">
        <v>70</v>
      </c>
      <c r="F143" s="59" t="s">
        <v>428</v>
      </c>
      <c r="G143" s="53" t="s">
        <v>379</v>
      </c>
    </row>
    <row r="144" spans="2:7" ht="63.75" x14ac:dyDescent="0.25">
      <c r="B144" s="53" t="s">
        <v>4</v>
      </c>
      <c r="C144" s="57" t="s">
        <v>30</v>
      </c>
      <c r="D144" s="68" t="s">
        <v>455</v>
      </c>
      <c r="E144" s="52">
        <v>71</v>
      </c>
      <c r="F144" s="59" t="s">
        <v>456</v>
      </c>
      <c r="G144" s="53" t="s">
        <v>379</v>
      </c>
    </row>
    <row r="145" spans="2:7" ht="38.25" x14ac:dyDescent="0.25">
      <c r="B145" s="53" t="s">
        <v>4</v>
      </c>
      <c r="C145" s="57" t="s">
        <v>30</v>
      </c>
      <c r="D145" s="68" t="s">
        <v>324</v>
      </c>
      <c r="E145" s="52">
        <v>72</v>
      </c>
      <c r="F145" s="59" t="s">
        <v>456</v>
      </c>
      <c r="G145" s="53" t="s">
        <v>379</v>
      </c>
    </row>
    <row r="146" spans="2:7" ht="63.75" x14ac:dyDescent="0.25">
      <c r="B146" s="53" t="s">
        <v>4</v>
      </c>
      <c r="C146" s="57" t="s">
        <v>164</v>
      </c>
      <c r="D146" s="51" t="s">
        <v>166</v>
      </c>
      <c r="E146" s="52">
        <v>73</v>
      </c>
      <c r="F146" s="51" t="s">
        <v>419</v>
      </c>
      <c r="G146" s="54" t="s">
        <v>382</v>
      </c>
    </row>
    <row r="147" spans="2:7" ht="114.75" x14ac:dyDescent="0.25">
      <c r="B147" s="53" t="s">
        <v>4</v>
      </c>
      <c r="C147" s="69" t="s">
        <v>35</v>
      </c>
      <c r="D147" s="70" t="s">
        <v>167</v>
      </c>
      <c r="E147" s="52">
        <v>74</v>
      </c>
      <c r="F147" s="59" t="s">
        <v>457</v>
      </c>
      <c r="G147" s="53" t="s">
        <v>379</v>
      </c>
    </row>
    <row r="148" spans="2:7" ht="38.25" x14ac:dyDescent="0.25">
      <c r="B148" s="53" t="s">
        <v>4</v>
      </c>
      <c r="C148" s="69" t="s">
        <v>35</v>
      </c>
      <c r="D148" s="70" t="s">
        <v>342</v>
      </c>
      <c r="E148" s="52">
        <v>75</v>
      </c>
      <c r="F148" s="59" t="s">
        <v>458</v>
      </c>
      <c r="G148" s="53" t="s">
        <v>379</v>
      </c>
    </row>
    <row r="149" spans="2:7" ht="38.25" x14ac:dyDescent="0.25">
      <c r="B149" s="53" t="s">
        <v>4</v>
      </c>
      <c r="C149" s="69" t="s">
        <v>35</v>
      </c>
      <c r="D149" s="70" t="s">
        <v>347</v>
      </c>
      <c r="E149" s="52">
        <v>76</v>
      </c>
      <c r="F149" s="59" t="s">
        <v>458</v>
      </c>
      <c r="G149" s="53" t="s">
        <v>379</v>
      </c>
    </row>
    <row r="150" spans="2:7" ht="89.25" x14ac:dyDescent="0.25">
      <c r="B150" s="60" t="s">
        <v>4</v>
      </c>
      <c r="C150" s="69" t="s">
        <v>35</v>
      </c>
      <c r="D150" s="56" t="s">
        <v>168</v>
      </c>
      <c r="E150" s="52">
        <v>77</v>
      </c>
      <c r="F150" s="59" t="s">
        <v>457</v>
      </c>
      <c r="G150" s="53" t="s">
        <v>379</v>
      </c>
    </row>
    <row r="151" spans="2:7" x14ac:dyDescent="0.25">
      <c r="B151" s="71"/>
      <c r="C151" s="71"/>
      <c r="D151" s="72" t="s">
        <v>219</v>
      </c>
      <c r="E151" s="71" t="s">
        <v>361</v>
      </c>
      <c r="F151" s="71" t="s">
        <v>361</v>
      </c>
      <c r="G151" s="71" t="s">
        <v>361</v>
      </c>
    </row>
  </sheetData>
  <sheetProtection selectLockedCells="1" selectUnlockedCells="1"/>
  <dataValidations count="1">
    <dataValidation type="list" allowBlank="1" showErrorMessage="1" sqref="B113:C113">
      <formula1>INDIRECT(#REF!)</formula1>
      <formula2>0</formula2>
    </dataValidation>
  </dataValidations>
  <pageMargins left="0.75" right="0.75" top="1" bottom="1" header="0.51180555555555551" footer="0.5118055555555555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Hoja2</vt:lpstr>
      <vt:lpstr>Insumos PMR</vt:lpstr>
      <vt:lpstr>Insumos APC APR</vt:lpstr>
      <vt:lpstr>Matriz Unificada de Seguimiento</vt:lpstr>
      <vt:lpstr>PMR</vt:lpstr>
      <vt:lpstr>APC</vt:lpstr>
      <vt:lpstr>APR</vt:lpstr>
      <vt:lpstr>Desplegables</vt:lpstr>
      <vt:lpstr>'Matriz Unificada de Seguimiento'!Área_de_impresión</vt:lpstr>
      <vt:lpstr>EJE_DOS</vt:lpstr>
      <vt:lpstr>EJE_TRES</vt:lpstr>
      <vt:lpstr>EJE_UNO</vt:lpstr>
      <vt:lpstr>EJES</vt:lpstr>
      <vt:lpstr>INDICADOR_UNIFICADO</vt:lpstr>
      <vt:lpstr>LOCALIDADES</vt:lpstr>
      <vt:lpstr>'Matriz Unificada de Seguimiento'!Títulos_a_imprimir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Apolo</cp:lastModifiedBy>
  <dcterms:created xsi:type="dcterms:W3CDTF">2015-04-16T12:04:43Z</dcterms:created>
  <dcterms:modified xsi:type="dcterms:W3CDTF">2017-10-02T14:59:24Z</dcterms:modified>
</cp:coreProperties>
</file>