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oscar_montealegre_gobiernobogota_gov_co/Documents/1. BARRIOS UNIDOS - OMR/DASHBOARD/"/>
    </mc:Choice>
  </mc:AlternateContent>
  <xr:revisionPtr revIDLastSave="4" documentId="8_{B875F07D-2D29-4D38-B461-3B5DE48D1F4C}" xr6:coauthVersionLast="45" xr6:coauthVersionMax="45" xr10:uidLastSave="{9D67342E-FB7E-4849-94E5-906BF3EE006C}"/>
  <bookViews>
    <workbookView xWindow="-120" yWindow="-120" windowWidth="29040" windowHeight="15840" tabRatio="870" xr2:uid="{00000000-000D-0000-FFFF-FFFF00000000}"/>
  </bookViews>
  <sheets>
    <sheet name="GRAFICAS" sheetId="1" r:id="rId1"/>
    <sheet name="RESUMEN FUNCIONAMIENTO" sheetId="23" r:id="rId2"/>
    <sheet name="RESUMEN INVERSIÓN" sheetId="24" r:id="rId3"/>
    <sheet name="AMBIENTE - 2018" sheetId="21" r:id="rId4"/>
    <sheet name="AYUDAS TECNICAS - 2019" sheetId="17" state="hidden" r:id="rId5"/>
    <sheet name="BUEN TRATO- 2018" sheetId="16" r:id="rId6"/>
    <sheet name="BUEN TRATO 2019" sheetId="20" r:id="rId7"/>
    <sheet name="CULTURA - 2019" sheetId="9" r:id="rId8"/>
    <sheet name="DEPORTES - 2019" sheetId="10" r:id="rId9"/>
    <sheet name="EDUCACIÓN - 2019" sheetId="7" r:id="rId10"/>
    <sheet name="MALLA VIAL - 2018" sheetId="12" r:id="rId11"/>
    <sheet name="OBRA - 2019" sheetId="25" r:id="rId12"/>
    <sheet name="PARQUES - 2019" sheetId="14" r:id="rId13"/>
    <sheet name="PARTICIPACION  - 2019" sheetId="15" r:id="rId14"/>
    <sheet name="SEGURIDAD 2019" sheetId="18" r:id="rId15"/>
    <sheet name="DOTACIÓN JARDINES 2019" sheetId="22" r:id="rId16"/>
    <sheet name="ETB-2020" sheetId="26" r:id="rId17"/>
    <sheet name="CPS 2020" sheetId="27" r:id="rId18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5" i="25" l="1"/>
  <c r="J55" i="25"/>
  <c r="L49" i="15" l="1"/>
  <c r="K49" i="15"/>
  <c r="L27" i="26"/>
  <c r="M25" i="26"/>
  <c r="M27" i="26" s="1"/>
  <c r="U25" i="10"/>
  <c r="U22" i="10"/>
  <c r="M53" i="10"/>
  <c r="M52" i="10"/>
  <c r="M51" i="10"/>
  <c r="M50" i="10"/>
  <c r="M49" i="10"/>
  <c r="M48" i="10"/>
  <c r="M47" i="10"/>
  <c r="M46" i="10"/>
  <c r="M45" i="10"/>
  <c r="M42" i="10"/>
  <c r="L44" i="9" l="1"/>
  <c r="K44" i="9"/>
  <c r="L43" i="9"/>
  <c r="K43" i="9"/>
  <c r="E41" i="25" l="1"/>
  <c r="E43" i="25" s="1"/>
  <c r="E24" i="25"/>
  <c r="E26" i="26"/>
  <c r="M14" i="26"/>
  <c r="M16" i="26" s="1"/>
  <c r="M31" i="26" s="1"/>
  <c r="L16" i="26"/>
  <c r="E14" i="26"/>
  <c r="E13" i="26"/>
  <c r="M16" i="25"/>
  <c r="M15" i="25"/>
  <c r="E16" i="26" l="1"/>
  <c r="L18" i="25"/>
  <c r="M14" i="25"/>
  <c r="M18" i="25" s="1"/>
  <c r="E16" i="25"/>
  <c r="E15" i="25"/>
  <c r="E18" i="25" l="1"/>
  <c r="M22" i="25"/>
  <c r="F8" i="23"/>
  <c r="J10" i="23"/>
  <c r="J18" i="23"/>
  <c r="D117" i="1" l="1"/>
  <c r="E15" i="22"/>
  <c r="E15" i="15"/>
  <c r="E15" i="10"/>
  <c r="E15" i="9"/>
  <c r="E15" i="20"/>
  <c r="E13" i="21" l="1"/>
  <c r="L40" i="21" l="1"/>
  <c r="L44" i="17"/>
  <c r="M27" i="17"/>
  <c r="E16" i="9" l="1"/>
  <c r="E18" i="9" s="1"/>
  <c r="F147" i="1"/>
  <c r="D149" i="1" s="1"/>
  <c r="F341" i="1"/>
  <c r="D342" i="1" s="1"/>
  <c r="D343" i="1"/>
  <c r="D344" i="1" s="1"/>
  <c r="D345" i="1" s="1"/>
  <c r="E16" i="20"/>
  <c r="E18" i="20" s="1"/>
  <c r="E16" i="15"/>
  <c r="E18" i="15" s="1"/>
  <c r="E25" i="10"/>
  <c r="F111" i="1" s="1"/>
  <c r="E39" i="10"/>
  <c r="F112" i="1" s="1"/>
  <c r="E30" i="20"/>
  <c r="E23" i="20"/>
  <c r="E22" i="20"/>
  <c r="E32" i="20" s="1"/>
  <c r="D339" i="1" s="1"/>
  <c r="D340" i="1" s="1"/>
  <c r="E34" i="16"/>
  <c r="E36" i="16" s="1"/>
  <c r="D210" i="1" s="1"/>
  <c r="D211" i="1" s="1"/>
  <c r="M17" i="17"/>
  <c r="M34" i="17" s="1"/>
  <c r="D47" i="1" s="1"/>
  <c r="D48" i="1" s="1"/>
  <c r="L29" i="17"/>
  <c r="L48" i="22"/>
  <c r="N46" i="22"/>
  <c r="N45" i="22"/>
  <c r="N44" i="22"/>
  <c r="N43" i="22"/>
  <c r="N42" i="22"/>
  <c r="N41" i="22"/>
  <c r="M48" i="22"/>
  <c r="N19" i="22"/>
  <c r="N18" i="22"/>
  <c r="N17" i="22"/>
  <c r="N16" i="22"/>
  <c r="N15" i="22"/>
  <c r="N14" i="22"/>
  <c r="M21" i="22"/>
  <c r="L21" i="22"/>
  <c r="M32" i="22"/>
  <c r="L32" i="22"/>
  <c r="N30" i="22"/>
  <c r="L39" i="9"/>
  <c r="F374" i="1"/>
  <c r="F373" i="1"/>
  <c r="F369" i="1"/>
  <c r="E366" i="1"/>
  <c r="E365" i="1"/>
  <c r="E364" i="1"/>
  <c r="E367" i="1" s="1"/>
  <c r="E28" i="22"/>
  <c r="E30" i="22" s="1"/>
  <c r="E16" i="22"/>
  <c r="E18" i="22" s="1"/>
  <c r="L36" i="10"/>
  <c r="L55" i="10" s="1"/>
  <c r="M55" i="10" s="1"/>
  <c r="E37" i="14"/>
  <c r="F80" i="1" s="1"/>
  <c r="N36" i="9"/>
  <c r="M39" i="9"/>
  <c r="N39" i="9"/>
  <c r="N23" i="9"/>
  <c r="N15" i="9"/>
  <c r="N16" i="9"/>
  <c r="N17" i="9"/>
  <c r="N18" i="9"/>
  <c r="N19" i="9"/>
  <c r="N20" i="9"/>
  <c r="N21" i="9"/>
  <c r="N22" i="9"/>
  <c r="N24" i="9"/>
  <c r="N25" i="9"/>
  <c r="N26" i="9"/>
  <c r="N14" i="9"/>
  <c r="E35" i="18"/>
  <c r="E34" i="18"/>
  <c r="E33" i="18"/>
  <c r="E32" i="18"/>
  <c r="E31" i="18"/>
  <c r="E30" i="18"/>
  <c r="E29" i="18"/>
  <c r="E28" i="18"/>
  <c r="E37" i="18" s="1"/>
  <c r="E27" i="18"/>
  <c r="E26" i="18"/>
  <c r="E22" i="18"/>
  <c r="F271" i="1" s="1"/>
  <c r="M38" i="18"/>
  <c r="N38" i="18" s="1"/>
  <c r="L38" i="18"/>
  <c r="N36" i="18"/>
  <c r="M27" i="18"/>
  <c r="L27" i="18"/>
  <c r="N25" i="18"/>
  <c r="M16" i="18"/>
  <c r="L16" i="18"/>
  <c r="F84" i="1"/>
  <c r="D85" i="1" s="1"/>
  <c r="F82" i="1"/>
  <c r="F275" i="1"/>
  <c r="D278" i="1" s="1"/>
  <c r="F276" i="1"/>
  <c r="D277" i="1" s="1"/>
  <c r="F15" i="1"/>
  <c r="F20" i="1"/>
  <c r="F19" i="1"/>
  <c r="D22" i="1" s="1"/>
  <c r="E28" i="21"/>
  <c r="E30" i="21" s="1"/>
  <c r="D18" i="1" s="1"/>
  <c r="D19" i="1" s="1"/>
  <c r="L16" i="21"/>
  <c r="M14" i="21"/>
  <c r="M16" i="21" s="1"/>
  <c r="M20" i="21" s="1"/>
  <c r="D15" i="1" s="1"/>
  <c r="D16" i="1" s="1"/>
  <c r="E14" i="21"/>
  <c r="E16" i="21" s="1"/>
  <c r="N14" i="18"/>
  <c r="E14" i="18"/>
  <c r="E16" i="18" s="1"/>
  <c r="E13" i="18"/>
  <c r="F47" i="1"/>
  <c r="F51" i="1"/>
  <c r="F50" i="1"/>
  <c r="E28" i="17"/>
  <c r="E30" i="17" s="1"/>
  <c r="D50" i="1" s="1"/>
  <c r="D51" i="1" s="1"/>
  <c r="L17" i="17"/>
  <c r="M15" i="17"/>
  <c r="E14" i="17"/>
  <c r="E13" i="17"/>
  <c r="M18" i="20"/>
  <c r="L18" i="20"/>
  <c r="N18" i="20" s="1"/>
  <c r="N22" i="20" s="1"/>
  <c r="D336" i="1" s="1"/>
  <c r="D337" i="1" s="1"/>
  <c r="N15" i="20"/>
  <c r="N14" i="20"/>
  <c r="F207" i="1"/>
  <c r="F212" i="1"/>
  <c r="F211" i="1"/>
  <c r="D214" i="1" s="1"/>
  <c r="M18" i="16"/>
  <c r="L18" i="16"/>
  <c r="N16" i="16"/>
  <c r="N15" i="16"/>
  <c r="E14" i="16"/>
  <c r="E16" i="16" s="1"/>
  <c r="E13" i="16"/>
  <c r="F239" i="1"/>
  <c r="F243" i="1"/>
  <c r="D245" i="1" s="1"/>
  <c r="F242" i="1"/>
  <c r="D246" i="1" s="1"/>
  <c r="U27" i="15"/>
  <c r="T29" i="15"/>
  <c r="T18" i="15"/>
  <c r="U18" i="15" s="1"/>
  <c r="S18" i="15"/>
  <c r="M35" i="15"/>
  <c r="K37" i="15"/>
  <c r="L37" i="15"/>
  <c r="F337" i="1"/>
  <c r="M15" i="15"/>
  <c r="M16" i="15"/>
  <c r="M17" i="15"/>
  <c r="M18" i="15"/>
  <c r="M19" i="15"/>
  <c r="M20" i="15"/>
  <c r="M21" i="15"/>
  <c r="M22" i="15"/>
  <c r="M23" i="15"/>
  <c r="M14" i="15"/>
  <c r="E36" i="15"/>
  <c r="E38" i="15" s="1"/>
  <c r="D242" i="1" s="1"/>
  <c r="D243" i="1" s="1"/>
  <c r="U16" i="15"/>
  <c r="U15" i="15"/>
  <c r="U14" i="15"/>
  <c r="F79" i="1"/>
  <c r="L16" i="14"/>
  <c r="M14" i="14"/>
  <c r="M16" i="14" s="1"/>
  <c r="M20" i="14" s="1"/>
  <c r="D79" i="1" s="1"/>
  <c r="D80" i="1" s="1"/>
  <c r="E14" i="14"/>
  <c r="E13" i="14"/>
  <c r="F175" i="1"/>
  <c r="F180" i="1"/>
  <c r="F179" i="1"/>
  <c r="D182" i="1" s="1"/>
  <c r="L27" i="12"/>
  <c r="M25" i="12"/>
  <c r="M27" i="12" s="1"/>
  <c r="E36" i="12"/>
  <c r="E38" i="12" s="1"/>
  <c r="D178" i="1" s="1"/>
  <c r="D179" i="1" s="1"/>
  <c r="L16" i="12"/>
  <c r="M14" i="12"/>
  <c r="M16" i="12" s="1"/>
  <c r="E14" i="12"/>
  <c r="E13" i="12"/>
  <c r="F143" i="1"/>
  <c r="E35" i="9"/>
  <c r="E37" i="9" s="1"/>
  <c r="D146" i="1" s="1"/>
  <c r="D147" i="1" s="1"/>
  <c r="E160" i="1" s="1"/>
  <c r="N37" i="9"/>
  <c r="N33" i="7"/>
  <c r="M33" i="7"/>
  <c r="O16" i="7" s="1"/>
  <c r="F303" i="1"/>
  <c r="F308" i="1"/>
  <c r="F307" i="1"/>
  <c r="D310" i="1" s="1"/>
  <c r="E26" i="7"/>
  <c r="F304" i="1" s="1"/>
  <c r="E14" i="7"/>
  <c r="E16" i="7" s="1"/>
  <c r="E13" i="7"/>
  <c r="T16" i="10"/>
  <c r="T27" i="10" s="1"/>
  <c r="S16" i="10"/>
  <c r="S27" i="10" s="1"/>
  <c r="U11" i="10"/>
  <c r="M23" i="10"/>
  <c r="M27" i="10"/>
  <c r="M28" i="10"/>
  <c r="M29" i="10"/>
  <c r="M30" i="10"/>
  <c r="M31" i="10"/>
  <c r="M32" i="10"/>
  <c r="M33" i="10"/>
  <c r="M34" i="10"/>
  <c r="M26" i="10"/>
  <c r="U14" i="10"/>
  <c r="M15" i="10"/>
  <c r="M14" i="10"/>
  <c r="M11" i="10"/>
  <c r="E16" i="10"/>
  <c r="E18" i="10" s="1"/>
  <c r="F115" i="1"/>
  <c r="F114" i="1"/>
  <c r="E333" i="1"/>
  <c r="E332" i="1"/>
  <c r="E331" i="1"/>
  <c r="D150" i="1"/>
  <c r="D118" i="1"/>
  <c r="D119" i="1" s="1"/>
  <c r="D120" i="1" s="1"/>
  <c r="D86" i="1"/>
  <c r="E300" i="1"/>
  <c r="E299" i="1"/>
  <c r="E298" i="1"/>
  <c r="E268" i="1"/>
  <c r="E267" i="1"/>
  <c r="E269" i="1" s="1"/>
  <c r="E266" i="1"/>
  <c r="E236" i="1"/>
  <c r="E234" i="1"/>
  <c r="E237" i="1" s="1"/>
  <c r="E235" i="1"/>
  <c r="E204" i="1"/>
  <c r="E203" i="1"/>
  <c r="E205" i="1" s="1"/>
  <c r="E202" i="1"/>
  <c r="E172" i="1"/>
  <c r="E171" i="1"/>
  <c r="E170" i="1"/>
  <c r="E140" i="1"/>
  <c r="E139" i="1"/>
  <c r="E138" i="1"/>
  <c r="E108" i="1"/>
  <c r="E107" i="1"/>
  <c r="E106" i="1"/>
  <c r="E76" i="1"/>
  <c r="E75" i="1"/>
  <c r="E74" i="1"/>
  <c r="E44" i="1"/>
  <c r="E43" i="1"/>
  <c r="E42" i="1"/>
  <c r="E12" i="1"/>
  <c r="E11" i="1"/>
  <c r="E10" i="1"/>
  <c r="E45" i="1"/>
  <c r="M28" i="9"/>
  <c r="K36" i="10"/>
  <c r="K55" i="10" s="1"/>
  <c r="E39" i="18" l="1"/>
  <c r="D274" i="1" s="1"/>
  <c r="D275" i="1" s="1"/>
  <c r="F272" i="1"/>
  <c r="F273" i="1" s="1"/>
  <c r="D87" i="1"/>
  <c r="D88" i="1" s="1"/>
  <c r="D100" i="1" s="1"/>
  <c r="E334" i="1"/>
  <c r="N27" i="18"/>
  <c r="E141" i="1"/>
  <c r="E173" i="1"/>
  <c r="E301" i="1"/>
  <c r="U27" i="10"/>
  <c r="F240" i="1"/>
  <c r="E39" i="14"/>
  <c r="D82" i="1" s="1"/>
  <c r="D83" i="1" s="1"/>
  <c r="N16" i="18"/>
  <c r="S9" i="18" s="1"/>
  <c r="D271" i="1" s="1"/>
  <c r="D272" i="1" s="1"/>
  <c r="M37" i="15"/>
  <c r="T9" i="9"/>
  <c r="D143" i="1" s="1"/>
  <c r="D144" i="1" s="1"/>
  <c r="E13" i="1"/>
  <c r="E77" i="1"/>
  <c r="E109" i="1"/>
  <c r="E16" i="14"/>
  <c r="N18" i="16"/>
  <c r="N22" i="16" s="1"/>
  <c r="D207" i="1" s="1"/>
  <c r="D208" i="1" s="1"/>
  <c r="L25" i="15"/>
  <c r="D376" i="1"/>
  <c r="D375" i="1"/>
  <c r="D247" i="1"/>
  <c r="D248" i="1" s="1"/>
  <c r="E260" i="1" s="1"/>
  <c r="D181" i="1"/>
  <c r="F176" i="1"/>
  <c r="F177" i="1" s="1"/>
  <c r="E16" i="12"/>
  <c r="M36" i="10"/>
  <c r="L17" i="10"/>
  <c r="E41" i="10"/>
  <c r="D114" i="1" s="1"/>
  <c r="D115" i="1" s="1"/>
  <c r="D128" i="1" s="1"/>
  <c r="U16" i="10"/>
  <c r="F336" i="1"/>
  <c r="F338" i="1" s="1"/>
  <c r="F208" i="1"/>
  <c r="F209" i="1" s="1"/>
  <c r="D21" i="1"/>
  <c r="D23" i="1" s="1"/>
  <c r="D24" i="1" s="1"/>
  <c r="O20" i="7"/>
  <c r="O28" i="7"/>
  <c r="O22" i="7"/>
  <c r="O31" i="7"/>
  <c r="O18" i="7"/>
  <c r="O19" i="7"/>
  <c r="O25" i="7"/>
  <c r="O23" i="7"/>
  <c r="O26" i="7"/>
  <c r="O17" i="7"/>
  <c r="O24" i="7"/>
  <c r="O15" i="7"/>
  <c r="O30" i="7"/>
  <c r="O21" i="7"/>
  <c r="F144" i="1"/>
  <c r="F145" i="1" s="1"/>
  <c r="D357" i="1"/>
  <c r="E357" i="1"/>
  <c r="D151" i="1"/>
  <c r="D152" i="1" s="1"/>
  <c r="D132" i="1"/>
  <c r="E132" i="1"/>
  <c r="D377" i="1"/>
  <c r="N32" i="22"/>
  <c r="N21" i="22"/>
  <c r="N48" i="22"/>
  <c r="F241" i="1"/>
  <c r="F81" i="1"/>
  <c r="E28" i="7"/>
  <c r="D306" i="1" s="1"/>
  <c r="D307" i="1" s="1"/>
  <c r="E320" i="1" s="1"/>
  <c r="O29" i="7"/>
  <c r="D309" i="1"/>
  <c r="D311" i="1" s="1"/>
  <c r="D312" i="1" s="1"/>
  <c r="F305" i="1"/>
  <c r="F113" i="1"/>
  <c r="D213" i="1"/>
  <c r="D215" i="1" s="1"/>
  <c r="D216" i="1" s="1"/>
  <c r="E228" i="1" s="1"/>
  <c r="E16" i="17"/>
  <c r="D53" i="1"/>
  <c r="D54" i="1"/>
  <c r="D55" i="1" s="1"/>
  <c r="D56" i="1" s="1"/>
  <c r="F16" i="1"/>
  <c r="F17" i="1" s="1"/>
  <c r="D183" i="1"/>
  <c r="D184" i="1" s="1"/>
  <c r="D196" i="1" s="1"/>
  <c r="D279" i="1"/>
  <c r="D280" i="1" s="1"/>
  <c r="E292" i="1" s="1"/>
  <c r="D288" i="1"/>
  <c r="E288" i="1"/>
  <c r="E256" i="1"/>
  <c r="D256" i="1"/>
  <c r="E192" i="1"/>
  <c r="D192" i="1"/>
  <c r="E96" i="1"/>
  <c r="D96" i="1"/>
  <c r="E60" i="1"/>
  <c r="D60" i="1"/>
  <c r="E32" i="1"/>
  <c r="D32" i="1"/>
  <c r="M31" i="12"/>
  <c r="D175" i="1" s="1"/>
  <c r="D176" i="1" s="1"/>
  <c r="D353" i="1"/>
  <c r="E353" i="1"/>
  <c r="E156" i="1"/>
  <c r="D156" i="1"/>
  <c r="D92" i="1"/>
  <c r="E92" i="1"/>
  <c r="E28" i="1"/>
  <c r="D28" i="1"/>
  <c r="F370" i="1"/>
  <c r="F371" i="1" s="1"/>
  <c r="D372" i="1"/>
  <c r="D373" i="1" s="1"/>
  <c r="T33" i="15"/>
  <c r="D239" i="1" s="1"/>
  <c r="D240" i="1" s="1"/>
  <c r="D224" i="1"/>
  <c r="E224" i="1"/>
  <c r="D220" i="1"/>
  <c r="E220" i="1"/>
  <c r="E349" i="1"/>
  <c r="D349" i="1"/>
  <c r="E64" i="1"/>
  <c r="D64" i="1"/>
  <c r="D160" i="1"/>
  <c r="F48" i="1"/>
  <c r="F49" i="1" s="1"/>
  <c r="O27" i="7"/>
  <c r="O14" i="7"/>
  <c r="D320" i="1" l="1"/>
  <c r="E100" i="1"/>
  <c r="U31" i="10"/>
  <c r="D111" i="1" s="1"/>
  <c r="D112" i="1" s="1"/>
  <c r="D124" i="1" s="1"/>
  <c r="D260" i="1"/>
  <c r="E128" i="1"/>
  <c r="O33" i="7"/>
  <c r="U9" i="7" s="1"/>
  <c r="D303" i="1" s="1"/>
  <c r="D304" i="1" s="1"/>
  <c r="D316" i="1" s="1"/>
  <c r="D378" i="1"/>
  <c r="D164" i="1"/>
  <c r="E164" i="1"/>
  <c r="D36" i="1"/>
  <c r="E36" i="1"/>
  <c r="S10" i="22"/>
  <c r="D369" i="1" s="1"/>
  <c r="D370" i="1" s="1"/>
  <c r="D382" i="1" s="1"/>
  <c r="E324" i="1"/>
  <c r="D324" i="1"/>
  <c r="D68" i="1"/>
  <c r="E68" i="1"/>
  <c r="D292" i="1"/>
  <c r="E196" i="1"/>
  <c r="D228" i="1"/>
  <c r="E188" i="1"/>
  <c r="D188" i="1"/>
  <c r="E382" i="1"/>
  <c r="E284" i="1"/>
  <c r="D284" i="1"/>
  <c r="D386" i="1"/>
  <c r="E386" i="1"/>
  <c r="E252" i="1"/>
  <c r="D252" i="1"/>
  <c r="E124" i="1" l="1"/>
  <c r="E316" i="1"/>
  <c r="D390" i="1"/>
  <c r="E390" i="1"/>
  <c r="E28" i="26"/>
</calcChain>
</file>

<file path=xl/sharedStrings.xml><?xml version="1.0" encoding="utf-8"?>
<sst xmlns="http://schemas.openxmlformats.org/spreadsheetml/2006/main" count="1419" uniqueCount="498">
  <si>
    <t>Inicio</t>
  </si>
  <si>
    <t>Rojo</t>
  </si>
  <si>
    <t>Amarillo</t>
  </si>
  <si>
    <t>Verde</t>
  </si>
  <si>
    <t>X</t>
  </si>
  <si>
    <t>Y</t>
  </si>
  <si>
    <r>
      <t xml:space="preserve">Grados = Resultado x </t>
    </r>
    <r>
      <rPr>
        <sz val="11"/>
        <color theme="1"/>
        <rFont val="Calibri"/>
        <family val="2"/>
      </rPr>
      <t>π</t>
    </r>
  </si>
  <si>
    <t>Rango Color</t>
  </si>
  <si>
    <t>División</t>
  </si>
  <si>
    <t>Resultado</t>
  </si>
  <si>
    <t>Resultado Avance Físico</t>
  </si>
  <si>
    <t>Resultado Avance Financiero</t>
  </si>
  <si>
    <t>Físico</t>
  </si>
  <si>
    <t>Financiero</t>
  </si>
  <si>
    <t>Tiempo</t>
  </si>
  <si>
    <t>Avance Tiempo</t>
  </si>
  <si>
    <t xml:space="preserve"> PROYECTO 0791 - DEPORTES</t>
  </si>
  <si>
    <t xml:space="preserve"> PROYECTO 0791 - CULTURA</t>
  </si>
  <si>
    <t xml:space="preserve"> PROYECTO 1562 - PARTICIPACIÓN</t>
  </si>
  <si>
    <t>PROYECTO 1556 - AYUDAS TÉCNICAS</t>
  </si>
  <si>
    <t xml:space="preserve"> PROYECTO 1558 - PARQUES</t>
  </si>
  <si>
    <t>Dias transcurridos</t>
  </si>
  <si>
    <t>Días transcurridos</t>
  </si>
  <si>
    <t>Duración contrato (Días)</t>
  </si>
  <si>
    <t>Presupuesto Contrato</t>
  </si>
  <si>
    <t>Ejecución del Contrato</t>
  </si>
  <si>
    <t>Fecha de Inicio</t>
  </si>
  <si>
    <t>fecha de Terminacion</t>
  </si>
  <si>
    <t>Fecha de Terminacion</t>
  </si>
  <si>
    <t>Fecha terminacion prorroga</t>
  </si>
  <si>
    <t>Fecha Terminacion Prorroga</t>
  </si>
  <si>
    <t>Fecha de Terminación</t>
  </si>
  <si>
    <t>Fecha Terminación Prorroga</t>
  </si>
  <si>
    <t>COLEGIO</t>
  </si>
  <si>
    <t>COLEGIO FEMENINO LORENCITA VILLEGAS DE SANTOS (IED)</t>
  </si>
  <si>
    <t>EQUIPO DE COMPUTO PORTATIL CON DIADEMA INCLUIDA</t>
  </si>
  <si>
    <t>COLEGIO FRANCISCO PRIMERO S.S. (IED)</t>
  </si>
  <si>
    <t>COLEGIO HELADIA MEJIA (IED)</t>
  </si>
  <si>
    <t>EQUIPO DE COMPUTO DE ESCRITORIO</t>
  </si>
  <si>
    <t>COLEGIO JORGE ELIECER GAITAN (IED)</t>
  </si>
  <si>
    <t>COLEGIO JUAN FRANCISCO BERBEO (IED)</t>
  </si>
  <si>
    <t>COLEGIO RAFAEL BERNAL JIMENEZ (IED)</t>
  </si>
  <si>
    <t>COLEGIO REPUBLICA DE PANAMA (IED)</t>
  </si>
  <si>
    <t>COLEGIO TECNICO DOMINGO FAUSTINO SARMIENTO (IED)</t>
  </si>
  <si>
    <t>COLEGIO TOMAS CARRASQUILLA (IED)</t>
  </si>
  <si>
    <t>ACTIVIDAD</t>
  </si>
  <si>
    <t xml:space="preserve"> PROYECTO 1552 - DOTACION COLEGIOS</t>
  </si>
  <si>
    <t>Vacaciones Recreativas</t>
  </si>
  <si>
    <t>PROYECTO 1532 AMBIENTE</t>
  </si>
  <si>
    <t xml:space="preserve"> PROYECTO 1561 - MALLA VIAL CTO 116-2018</t>
  </si>
  <si>
    <t>PARQUES  ADICION CONTRATO DE OBRA N°089 DE 2017</t>
  </si>
  <si>
    <t xml:space="preserve">ADQUISICION DE MOTOCICLETAS </t>
  </si>
  <si>
    <t>SEMANA DEL BUEN TRATO</t>
  </si>
  <si>
    <t>ESCUELAS DE MADRES Y PADRES</t>
  </si>
  <si>
    <t>COMPONENTE 2 PREVENCION DE MATERNIDAD Y PATERNIDAD TEMPRANA</t>
  </si>
  <si>
    <t xml:space="preserve"> PROYECTO 1533 - BUEN TRATO 2019</t>
  </si>
  <si>
    <t>% AVANCE EN TIEMPO</t>
  </si>
  <si>
    <t>Fecha inicio</t>
  </si>
  <si>
    <t>Fecha fin</t>
  </si>
  <si>
    <t>Plazo ejecución en dias</t>
  </si>
  <si>
    <t>% AVANCE FINANCIERO</t>
  </si>
  <si>
    <t>Pago 1</t>
  </si>
  <si>
    <t>Pago 2</t>
  </si>
  <si>
    <t>Pago 3</t>
  </si>
  <si>
    <t>Pago 4</t>
  </si>
  <si>
    <t>Pago 5</t>
  </si>
  <si>
    <t>Pago 6</t>
  </si>
  <si>
    <t>Pago 7</t>
  </si>
  <si>
    <t>Pago 8</t>
  </si>
  <si>
    <t>Presupuesto total</t>
  </si>
  <si>
    <t>Total ejecutado</t>
  </si>
  <si>
    <t>NO</t>
  </si>
  <si>
    <t>Valor porcentual del componente</t>
  </si>
  <si>
    <t>COMPONENTE 1 (EVENTOS)</t>
  </si>
  <si>
    <t>COMPONENTE 2 (ESCUELAS DE FORMACIÓN)</t>
  </si>
  <si>
    <t>ESCUELA</t>
  </si>
  <si>
    <t>Patinaje</t>
  </si>
  <si>
    <t>Porras</t>
  </si>
  <si>
    <t>Boxeo</t>
  </si>
  <si>
    <t>Futsal</t>
  </si>
  <si>
    <t>Atletismo</t>
  </si>
  <si>
    <t>Ajedrez</t>
  </si>
  <si>
    <t>Rugby</t>
  </si>
  <si>
    <t>Ultimate</t>
  </si>
  <si>
    <t>STB</t>
  </si>
  <si>
    <t>GRUPOS</t>
  </si>
  <si>
    <t xml:space="preserve">TOTAL SESIONES </t>
  </si>
  <si>
    <t>TOTAL EJECUTADAS</t>
  </si>
  <si>
    <t>% DE EJECUCION</t>
  </si>
  <si>
    <t>TOTAL  AVANCE FISICO DEL CONTRATO</t>
  </si>
  <si>
    <t xml:space="preserve">CLICK - GRAFICA DASHBOARD </t>
  </si>
  <si>
    <t>Ejecutado (SI/NO)</t>
  </si>
  <si>
    <t xml:space="preserve">Valor porcentual </t>
  </si>
  <si>
    <t>ARBOLES PLANTADOS</t>
  </si>
  <si>
    <t>CANTIDAD CONTRATADA</t>
  </si>
  <si>
    <t>REFORESTACIÓN</t>
  </si>
  <si>
    <t xml:space="preserve">% AVANCE FISICO </t>
  </si>
  <si>
    <t>TIPO DE EQUIPO</t>
  </si>
  <si>
    <t>DOTACION EQUIPOS DE COMPUTO COLEGIO</t>
  </si>
  <si>
    <t>Actividad fisica</t>
  </si>
  <si>
    <t>Danzas</t>
  </si>
  <si>
    <t>Pago 9</t>
  </si>
  <si>
    <t>Pago 10</t>
  </si>
  <si>
    <t>Pago 11</t>
  </si>
  <si>
    <t>COMPONNETE 2 (ESPACIO PUBLICO CONTRATO 116-2019)</t>
  </si>
  <si>
    <t>M2 de espacio publico intervenido</t>
  </si>
  <si>
    <t>Parques intervenidos</t>
  </si>
  <si>
    <t>Fecha fin con prorroga</t>
  </si>
  <si>
    <t>Iniciativa 1</t>
  </si>
  <si>
    <t>Iniciativa 2</t>
  </si>
  <si>
    <t>Iniciativa 3</t>
  </si>
  <si>
    <t>Iniciativa 4</t>
  </si>
  <si>
    <t>Iniciativa 5</t>
  </si>
  <si>
    <t>Iniciativa 6</t>
  </si>
  <si>
    <t>Iniciativa 7</t>
  </si>
  <si>
    <t>Iniciativa 8</t>
  </si>
  <si>
    <t>Iniciativa 9</t>
  </si>
  <si>
    <t>Iniciativa 10</t>
  </si>
  <si>
    <t>COMPONENTE 2 (ENTREGA DE KITS)</t>
  </si>
  <si>
    <t>Entrega de kits a las JAC</t>
  </si>
  <si>
    <t>CANTIDAD EJECUTADA</t>
  </si>
  <si>
    <t>AREAS DE FORMACION</t>
  </si>
  <si>
    <t xml:space="preserve">FORMACIÓN EN USO PLATAFORMAS DE CONTRATACIÓN </t>
  </si>
  <si>
    <t>COMPONENTE 3 (CONTROL SOCIAL)</t>
  </si>
  <si>
    <t>COMPONENTE 4 (DIA COMUNAL)</t>
  </si>
  <si>
    <t>DIA COMUNAL</t>
  </si>
  <si>
    <t xml:space="preserve">FORMACIÓN EN COACHING </t>
  </si>
  <si>
    <t xml:space="preserve">FORMACIÓN EN GESTIÓN DEL RIESGO </t>
  </si>
  <si>
    <t>CANTIDAD CONTRATADA
(personas a vincular)</t>
  </si>
  <si>
    <t>% DE  EJECUCIÓN</t>
  </si>
  <si>
    <t>EVENTOS</t>
  </si>
  <si>
    <t xml:space="preserve"> PROYECTO 1533 - BUEN TRATO 2018</t>
  </si>
  <si>
    <t>COMPONENTE (EVENTOS)</t>
  </si>
  <si>
    <t>CANTIDAD EJECUTADA
(personas vinculadas)</t>
  </si>
  <si>
    <t>AYUDAS TECNICAS</t>
  </si>
  <si>
    <t>ADQUISICION DE VEHICULOS</t>
  </si>
  <si>
    <t>CANTIDAD x COLEGIO</t>
  </si>
  <si>
    <t>Pago único</t>
  </si>
  <si>
    <t>El Colombianito</t>
  </si>
  <si>
    <t>MALLA VIAL - 2018</t>
  </si>
  <si>
    <t>Kilómetros de via intervenida</t>
  </si>
  <si>
    <t>Valor del componente</t>
  </si>
  <si>
    <t>% AVANCE FISICO 1</t>
  </si>
  <si>
    <t>% AVANCE FISICO 2</t>
  </si>
  <si>
    <t xml:space="preserve"> % AVANCE FISICO 1</t>
  </si>
  <si>
    <t>% AVANCE FISICO 3</t>
  </si>
  <si>
    <t>COMPONETE 1 (MALLA VIAL CONTRATO 116-2018)</t>
  </si>
  <si>
    <t>COMPONENTE 1 (INICIATIVAS)</t>
  </si>
  <si>
    <t>% AVANCE FISICO 4</t>
  </si>
  <si>
    <t>% AVANCE FISICO</t>
  </si>
  <si>
    <t>Beneficiar a  personas con ayudas técnicas</t>
  </si>
  <si>
    <t>CANTIDAD DE BENEFICIARIOS</t>
  </si>
  <si>
    <t xml:space="preserve">% AVANCE FISICO COMPONENTE </t>
  </si>
  <si>
    <t xml:space="preserve">TABLERO DE CONTROL SEGUIMIENTO A EJECUCIÓN PROYECTOS DE INVERSIÓN </t>
  </si>
  <si>
    <t>SI</t>
  </si>
  <si>
    <t>Pago 12</t>
  </si>
  <si>
    <t>Anticipo</t>
  </si>
  <si>
    <t>ADQUISICIÓN MOTOCICLETAS (COMPONENTE 1)</t>
  </si>
  <si>
    <t>Pago motocicletas</t>
  </si>
  <si>
    <t>Pago vehiculos</t>
  </si>
  <si>
    <t>Pago 1  gestores</t>
  </si>
  <si>
    <t>Pago 2  gestores</t>
  </si>
  <si>
    <t>Pago 3 gestores</t>
  </si>
  <si>
    <t>Pago 4  gestores</t>
  </si>
  <si>
    <t>Pago 5  gestores</t>
  </si>
  <si>
    <t>Pago 6 gestores</t>
  </si>
  <si>
    <t>Pago 7  gestores</t>
  </si>
  <si>
    <t>Pago 8  gestores</t>
  </si>
  <si>
    <t>Pago 9 gestores</t>
  </si>
  <si>
    <t>Pago 10  gestores</t>
  </si>
  <si>
    <t>ADQUISICIÓN VEHICULOS (COMPONENTE 2)</t>
  </si>
  <si>
    <t>GESTORES DE CONVIVENCIA</t>
  </si>
  <si>
    <t>TOTAL AVANCE FISICO DEL CONTRATO</t>
  </si>
  <si>
    <t xml:space="preserve"> PROYECTO 1563 - SEGURIDAD 2019</t>
  </si>
  <si>
    <t>GESTORES DE CONVIVENCIA (COMPONENTE 3)</t>
  </si>
  <si>
    <t>Conmemoración 7 de Agosto </t>
  </si>
  <si>
    <t>Ejecutado</t>
  </si>
  <si>
    <t>Festiparques</t>
  </si>
  <si>
    <t>Celebración día del adulto mayor</t>
  </si>
  <si>
    <t>FestiUnidos</t>
  </si>
  <si>
    <t>Concierto de la OFB</t>
  </si>
  <si>
    <t>Parque para Todos </t>
  </si>
  <si>
    <t>Conmemoración 12 de Octubre</t>
  </si>
  <si>
    <t>Conmemoración 11 de Noviembre</t>
  </si>
  <si>
    <t>Día de la No violencia contra la mujer</t>
  </si>
  <si>
    <t>Festival de Rock </t>
  </si>
  <si>
    <t>Pendiente </t>
  </si>
  <si>
    <t>Novenas</t>
  </si>
  <si>
    <t>Venga le cuento</t>
  </si>
  <si>
    <t>Reyes </t>
  </si>
  <si>
    <t>TOTAL BENEFICIADOS</t>
  </si>
  <si>
    <t xml:space="preserve"> PROYECTO 1533 - DOTACIÓN JARDÍNES 2019</t>
  </si>
  <si>
    <t>ITEM</t>
  </si>
  <si>
    <t>Elementos Aprobados</t>
  </si>
  <si>
    <t>TOTAL ELEMENTOS</t>
  </si>
  <si>
    <t>TOTAL EJECUTADOS</t>
  </si>
  <si>
    <t>COMPONENTE 2 (ELEMENTOS APROBADOS)</t>
  </si>
  <si>
    <t>COMPONENTE 3 (ELEMENTOS ENTREGADOS)</t>
  </si>
  <si>
    <t>COMPONENTE 1 (DOTACIÓN DE JARDÍNES INFANTILES)</t>
  </si>
  <si>
    <t>J.I RÍO NEGRO</t>
  </si>
  <si>
    <t>J.I SANTA SOFÍA</t>
  </si>
  <si>
    <t>J.I EL NOGAL</t>
  </si>
  <si>
    <t>J.I EL ROSARIO</t>
  </si>
  <si>
    <t>J.I MARIA GORETTI</t>
  </si>
  <si>
    <t>J.I. LA CIUDAD QUE SOÑAMOS</t>
  </si>
  <si>
    <t>CANTIDAD</t>
  </si>
  <si>
    <t>TOTAL ENTREGADAS</t>
  </si>
  <si>
    <t>Entregar ayudas técnicas</t>
  </si>
  <si>
    <t>TOTAL HORAS</t>
  </si>
  <si>
    <t>NA</t>
  </si>
  <si>
    <t>Fecha inicio Suspensión</t>
  </si>
  <si>
    <t>Fecha inicio suspensión</t>
  </si>
  <si>
    <t>Fecha finalización suspensión</t>
  </si>
  <si>
    <t>Adición 1</t>
  </si>
  <si>
    <t>Valor inicial</t>
  </si>
  <si>
    <t>Fecha final Suspensión</t>
  </si>
  <si>
    <t>Fecha inicio Suspensión 2</t>
  </si>
  <si>
    <t>Fecha final Suspensión 2</t>
  </si>
  <si>
    <t>Fecha fin Suspensión</t>
  </si>
  <si>
    <t>Adición</t>
  </si>
  <si>
    <t>Presupuesto inicial</t>
  </si>
  <si>
    <t>PROYECTO</t>
  </si>
  <si>
    <t>META PDL</t>
  </si>
  <si>
    <t>No. Contratado</t>
  </si>
  <si>
    <t>No. Ejecutado</t>
  </si>
  <si>
    <t>Avance Contratado %</t>
  </si>
  <si>
    <t>Avance Ejecutado %</t>
  </si>
  <si>
    <t>Sembrar y/o intervenir seiscientos (600) árboles en la localidad durante el cuatrienio.</t>
  </si>
  <si>
    <t>3-3-1-15-06-38-1532-00</t>
  </si>
  <si>
    <t>Beneficiar a 300 personas con el programa de ayudas técnicas en el cuatrienio.</t>
  </si>
  <si>
    <t>3-3-1-15-01-03-1556-00</t>
  </si>
  <si>
    <t>Vincular Tres mil (3.000) personas en acciones para la promoción del buen trato infantil en el cuatrienio.</t>
  </si>
  <si>
    <t>Realizar treinta (32) eventos artísticos y culturales de difusión y promoción de espacios de expresión artística; festividades tradicionales y patrimoniales en el cuatrienio.</t>
  </si>
  <si>
    <t>3-3-1-15-01-11-0791-00</t>
  </si>
  <si>
    <t>Vincular mil quinientas (1500) personas en el cuatrienio en procesos de formación artística y cultural.</t>
  </si>
  <si>
    <t>Vincular a ocho mil personas (8000) en el cuatrienio a procesos de formación deportiva.</t>
  </si>
  <si>
    <t>Realizar ocho (8) eventos en el cuatrienio de recreación y deporte.</t>
  </si>
  <si>
    <t>Dotar cuatro(4) IED en el cuatrienio con material pedagógico.</t>
  </si>
  <si>
    <t>3-3-1-15-01-07-1552-00</t>
  </si>
  <si>
    <t>3-3-1-15-02-18-1561-00</t>
  </si>
  <si>
    <t>Mantener y/o intervenir treinta y cinco (35) Km/carril de malla vial local en el cuatrienio.</t>
  </si>
  <si>
    <t>3-3-1-15-02-17-1558-00</t>
  </si>
  <si>
    <t>Intervenir cuarenta (40) parques vecinales y/o de bolsillo en el cuatrienio.</t>
  </si>
  <si>
    <t>Fortalecer veinte (20) Organizaciones, instancias y expresiones sociales ciudadanas para la participación durante la vigencia del plan.</t>
  </si>
  <si>
    <t>Vincular a seiscientos (600) personas a procesos de participación y control social</t>
  </si>
  <si>
    <t>3-3-1-15-07-45-1562-00</t>
  </si>
  <si>
    <t>Realizar tres (3) dotaciones en el cuatrienio para el fortalecimiento de la seguridad local.</t>
  </si>
  <si>
    <t>Vincular a Ochocientas (800) personas en el cuatrienio en ejercicios de convivencia ciudadana.</t>
  </si>
  <si>
    <t>3-3-1-15-03-19-1563-00</t>
  </si>
  <si>
    <t>Dotar siete (7) jardines infantiles en el cuatrienio.</t>
  </si>
  <si>
    <t>3-3-1-15-01-02-1533-00</t>
  </si>
  <si>
    <t>Construir y/o mantener dieciocho mil (18000) M2 de Espacio público local en el cuatrienio.</t>
  </si>
  <si>
    <t>Suspendido</t>
  </si>
  <si>
    <t>AYUDAS TÉCNICAS CONVENIO INTERADMINISTRATIVO 144 - 2019 SUBRED NORTE</t>
  </si>
  <si>
    <t>BUEN TRATO CONTRATO PRESTACIÓN DE SERVICIOS 107 - 2018 CORPORACIÓN CONCIENCIA</t>
  </si>
  <si>
    <t>BUEN TRATO CONTRATO PRESTACIÓN DE SERVICIOS 171 - 2019 OTRO ROLLO SOCIAL</t>
  </si>
  <si>
    <t>CULTURA CONTRATO PRESTACIÓN DE SERVICIOS 167 - 2019 UNION TEMPORAL ASOCIACIÓN LOGÍSTICA</t>
  </si>
  <si>
    <t>DEPORTES CONTRATO PRESTACIÓN DE SERVICIOS 141 - 2019 CITIUS</t>
  </si>
  <si>
    <t>DOTACIÓN COLEGIOS CONVENIO 1999 - 2019 SECRETARÍA DISTRITAL DE EDUCACIÓN</t>
  </si>
  <si>
    <t>PARQUES CONTRATO DE OBRA 089 - 2017 CONSORCIO URBANO DISTRITAL</t>
  </si>
  <si>
    <t>SEGURIDAD ORDEN DE COMPRA 44116 - 2019 FANALCA Y RENAULT</t>
  </si>
  <si>
    <t>CONTRATISTA</t>
  </si>
  <si>
    <t>OBJETO</t>
  </si>
  <si>
    <t xml:space="preserve">VALOR INICIAL </t>
  </si>
  <si>
    <t>¿ADICIONES?</t>
  </si>
  <si>
    <t>¿PRÓRROGAS?</t>
  </si>
  <si>
    <t>FECHA INICIAL</t>
  </si>
  <si>
    <t>FECHA FINAL</t>
  </si>
  <si>
    <t>AVANCE FINANCIERO</t>
  </si>
  <si>
    <t>No. CONTRATO u OC</t>
  </si>
  <si>
    <t>COVISUR DE COLOMBIA LTDA</t>
  </si>
  <si>
    <t>TECHNOLOGY WORLD GROUP SAS</t>
  </si>
  <si>
    <t>EMPRESA DE TELECOMUNICACIONES DE BOGOTA S.A. ESP</t>
  </si>
  <si>
    <t>GAMA COMPAÑIA S.A.S.</t>
  </si>
  <si>
    <t>PREVISORA SEGUROS</t>
  </si>
  <si>
    <t>DIEGO CASTRO INDUSTRIA Y CONSTRUCCIÓN S.A.S.</t>
  </si>
  <si>
    <t>KYOSTART VENTURES SAS</t>
  </si>
  <si>
    <t>SERVICIOS POSTALES NACIONALES S.A</t>
  </si>
  <si>
    <t>ELECTRIAIRES INTEGRALES SAS</t>
  </si>
  <si>
    <t>UT EMINSER SOLO ASEO</t>
  </si>
  <si>
    <t>TERPEL</t>
  </si>
  <si>
    <t>TORIENTE SAS</t>
  </si>
  <si>
    <t>CENTRO CAR 19</t>
  </si>
  <si>
    <t>LA PREVISORA COMPAÑÍA DE SEGUROS</t>
  </si>
  <si>
    <t>169-2018</t>
  </si>
  <si>
    <t>168-2019</t>
  </si>
  <si>
    <t>165-2019</t>
  </si>
  <si>
    <t>143-2019</t>
  </si>
  <si>
    <t>173-2019</t>
  </si>
  <si>
    <t>139-2019</t>
  </si>
  <si>
    <t>174-2019</t>
  </si>
  <si>
    <t>099-2020</t>
  </si>
  <si>
    <t>225-2019</t>
  </si>
  <si>
    <t>085-2020</t>
  </si>
  <si>
    <t>47211-2020</t>
  </si>
  <si>
    <t>46538-2020</t>
  </si>
  <si>
    <t>101-2020</t>
  </si>
  <si>
    <t>104-2020</t>
  </si>
  <si>
    <t>I + D NEURONA</t>
  </si>
  <si>
    <t>SEGUROS ENTIDAD</t>
  </si>
  <si>
    <t>SERVICIO DE VIGILANCIA</t>
  </si>
  <si>
    <t>ARRIENDO COMPUTADORES E IMPRESORAS</t>
  </si>
  <si>
    <t>SERVICIO DE INTERNET</t>
  </si>
  <si>
    <t>MANTENIMIENTO LINEAS TELEFÓNICAS</t>
  </si>
  <si>
    <t>SEGURO DE VIDA EDILES</t>
  </si>
  <si>
    <t>SUMINISTRO DE FERRETERÍA</t>
  </si>
  <si>
    <t>ARRIENDO BODEGA</t>
  </si>
  <si>
    <t>SERVICIO DE MENSAJERIA</t>
  </si>
  <si>
    <t>MANTENIMIENTO AIRE ACONDICIONADO</t>
  </si>
  <si>
    <t>SERVICIO DE ASEO Y CAFETERÍA</t>
  </si>
  <si>
    <t>SUMINISTRO DE COMBUSTIBLE</t>
  </si>
  <si>
    <t>SUMINISTRO DE PAPELERÍA</t>
  </si>
  <si>
    <t>MANTENIMIENTO VEHÍCULOS</t>
  </si>
  <si>
    <t>COMPRA BANDERAS INSTITUCIONALES</t>
  </si>
  <si>
    <t>MANTENIMIENTO PUERTA PARQUEADERO</t>
  </si>
  <si>
    <t>LICENCIAS OFFICE 2020</t>
  </si>
  <si>
    <t>9/3/20221</t>
  </si>
  <si>
    <t>ISCAD</t>
  </si>
  <si>
    <t>112-2020</t>
  </si>
  <si>
    <t>1 mes</t>
  </si>
  <si>
    <t>SOFTLINE</t>
  </si>
  <si>
    <t>103-2020</t>
  </si>
  <si>
    <t>3 meses y 16 días</t>
  </si>
  <si>
    <t>8 meses</t>
  </si>
  <si>
    <t>6 meses</t>
  </si>
  <si>
    <t>6 meses aprox</t>
  </si>
  <si>
    <t>CITIUS</t>
  </si>
  <si>
    <t>OTRO ROLLO SOCIAL</t>
  </si>
  <si>
    <t>UT ASOCIACIÓN LOGÍSTICA</t>
  </si>
  <si>
    <t>JARDÍN BOTÁNICO</t>
  </si>
  <si>
    <t>SUBRED NORTE</t>
  </si>
  <si>
    <t>CORPORACIÓN CONCIENCIA</t>
  </si>
  <si>
    <t>CONSORCIO URBANODISTRITAL</t>
  </si>
  <si>
    <t>CORPORACIÓN SOTEA</t>
  </si>
  <si>
    <t>MADEX</t>
  </si>
  <si>
    <t>141-2019</t>
  </si>
  <si>
    <t>DEPORTES 2019 (Escuelas y eventos deportivos)</t>
  </si>
  <si>
    <t>BUEN TRATO 2019 (Semana del buen trato y ferias de la sexualidad)</t>
  </si>
  <si>
    <t>CULTURA 2019 (Eventos culturales y escuelas de formación artística)</t>
  </si>
  <si>
    <t>AMIBIENTES 2018 (Plantación de árboles)</t>
  </si>
  <si>
    <t>AYUDAS TÉCNICAS 2019</t>
  </si>
  <si>
    <t>BUEN TRATO 2018 (Semana del buen trato y escuelas de padres)</t>
  </si>
  <si>
    <t>PARTICIPACIÓN 2019 (Día comunal, fortalecimiento instancias y control social)</t>
  </si>
  <si>
    <t>SEGURIDAD 2019 (Entrega de vehículos y motos para dotación policía)</t>
  </si>
  <si>
    <t>DOTACIÓN JARDINES 2019 (Dotación pedagógica a 6 jardines)</t>
  </si>
  <si>
    <t xml:space="preserve">PARQUES (Mantenimiento y contrucción de parques) </t>
  </si>
  <si>
    <t>171-2019</t>
  </si>
  <si>
    <t>MEDIO AMBIENTE CONVENIO INTERADMINISTRATIVO 167 - 2018 JARDÍN BOTÁNICO JOSÉ CELESTINO MUTIS</t>
  </si>
  <si>
    <t>167-2018</t>
  </si>
  <si>
    <t>144-2019</t>
  </si>
  <si>
    <t>DOTACIÓN JARDÍNES INFANTILES CONTRATO DE SUMINISTRO 175 - 2019 MADEX</t>
  </si>
  <si>
    <t>175-2019</t>
  </si>
  <si>
    <t>170-2019</t>
  </si>
  <si>
    <t>089-2017</t>
  </si>
  <si>
    <t>107-2018</t>
  </si>
  <si>
    <t>167-2019</t>
  </si>
  <si>
    <t>AVANCE FISICO</t>
  </si>
  <si>
    <t>2 meses</t>
  </si>
  <si>
    <t>3 meses</t>
  </si>
  <si>
    <t>RENAULT Y FANALCA</t>
  </si>
  <si>
    <t>241-2019</t>
  </si>
  <si>
    <t>BARRIOS UNIDOS 2020</t>
  </si>
  <si>
    <t>MALLA VIAL 2020</t>
  </si>
  <si>
    <t>OCULTAR HOJA Y QUITAR DE GRAFICA PRINCIPAL</t>
  </si>
  <si>
    <t>PARTICIPACIÓN CONTRATO PRESTACIÓN DE SERVICIO 170 - 2019 CORPORACIÓN SOTEA</t>
  </si>
  <si>
    <t>validar fecha de fin de suspension</t>
  </si>
  <si>
    <t>PRORROGA</t>
  </si>
  <si>
    <t>Fecha Fin</t>
  </si>
  <si>
    <t>Tiempo meses</t>
  </si>
  <si>
    <t>Observaciones</t>
  </si>
  <si>
    <t>OBSERVACIONES</t>
  </si>
  <si>
    <t>OBRAS  241 - 2019</t>
  </si>
  <si>
    <t>COMPONETE 1 (TRAMOS VIALES A EJECUTAR)</t>
  </si>
  <si>
    <t>Reconstrucción</t>
  </si>
  <si>
    <t>Rehabilitación</t>
  </si>
  <si>
    <t>Mantenimiento Periodico</t>
  </si>
  <si>
    <t>ETB CONVENIO INTERADMINISTRATIVO 02</t>
  </si>
  <si>
    <t>Pago Unico</t>
  </si>
  <si>
    <t>CI 002</t>
  </si>
  <si>
    <t>ETB</t>
  </si>
  <si>
    <t>PLATAFORMA VIRTUAL</t>
  </si>
  <si>
    <t>4 meses</t>
  </si>
  <si>
    <t>Produccion musical</t>
  </si>
  <si>
    <t>COMPONENTE 2 (ESCUELAS DE FORMACIÓN) PROPUESTA INICIAL</t>
  </si>
  <si>
    <t>COMPONENTE 2 (ESCUELAS DE FORMACIÓN) MODIFICATORIOS 1 Y 2</t>
  </si>
  <si>
    <t>COMPONENTE 3 (ACTIVIDAD FISICA) PROPUESTA INICIAL</t>
  </si>
  <si>
    <t>COMPONENTE 3 (ACTIVIDAD FISICA) MODIFICATORIOS 1 Y 2</t>
  </si>
  <si>
    <t>% AVANCE FISICO 3 ACUMULADO</t>
  </si>
  <si>
    <t>% AVANCE FISICO 2 ACUMULADO</t>
  </si>
  <si>
    <t>Sesión virtual encuentros ciudadanos</t>
  </si>
  <si>
    <t>COMPONENTE 1 - SESIONES VIRTUALES</t>
  </si>
  <si>
    <t>Convocatoria encuentros ciudadanos</t>
  </si>
  <si>
    <t>5 meses</t>
  </si>
  <si>
    <t xml:space="preserve">FONDO DE DESARROLLO LOCAL BARRIOS UNIDOS </t>
  </si>
  <si>
    <t>CONTRATO No.</t>
  </si>
  <si>
    <t>VIGENCIA</t>
  </si>
  <si>
    <t>NOMBRE DEL CONTRATISTA</t>
  </si>
  <si>
    <t>VALOR DEL CONTRATO</t>
  </si>
  <si>
    <t>VALOR MES</t>
  </si>
  <si>
    <t>FECHA DE INICIO</t>
  </si>
  <si>
    <t>FECHA TERINACION</t>
  </si>
  <si>
    <t>ADRIANA MONTEALEGRE RIAÑO</t>
  </si>
  <si>
    <t>ANGÉLICA MARÍA RICO SÁNCHEZ</t>
  </si>
  <si>
    <t>NAVIS ALBERTO FLÓREZ LEÓN</t>
  </si>
  <si>
    <t xml:space="preserve">JUAN FELIPE GALINDO NIÑO </t>
  </si>
  <si>
    <t>LUIS BASILIO GUTIÉRREZ</t>
  </si>
  <si>
    <t>OCTAVIO TARAZONA HERNANDEZ</t>
  </si>
  <si>
    <t xml:space="preserve">WILLINGTON ORTIZ ALARCÓN </t>
  </si>
  <si>
    <t xml:space="preserve">LUZ ADRIANA MUÑOZ MUÑOZ </t>
  </si>
  <si>
    <t>PABLO GIOVANNY PARRA PINEDA</t>
  </si>
  <si>
    <t>SANTIAGO CARVAJAL GIRALDO</t>
  </si>
  <si>
    <t>RICHARD PEREZ MORENO</t>
  </si>
  <si>
    <t>ANDRÉS ORLANDO BRICEÑO DÍAZ</t>
  </si>
  <si>
    <t>SANDRA PATRICIA MORENO VALENCIA</t>
  </si>
  <si>
    <t xml:space="preserve">MARITZA MILENA PÉREZ CESPEDES </t>
  </si>
  <si>
    <t>OSCAR ALFONSO MONTEALEGRE HERRERA</t>
  </si>
  <si>
    <t>NELSON EMIR CICUAMIA SUAREZ</t>
  </si>
  <si>
    <t>ALEXANDER AGUSTIN MOJICA CANCELADO</t>
  </si>
  <si>
    <t>MANUEL RICARDO MORENO PEÑUELA</t>
  </si>
  <si>
    <t>ERIKA HUARTOS CASTAÑEDA</t>
  </si>
  <si>
    <t>CHRISTIAN CAMILO SUAREZ RAMIREZ</t>
  </si>
  <si>
    <t>JANETTE ALEXANDRA LUNA VELA</t>
  </si>
  <si>
    <t>ELKIN ANDRÉS MARTINEZ SALGADO</t>
  </si>
  <si>
    <t>YULIETH PAOLA GOMEZ LEMA</t>
  </si>
  <si>
    <t>LINA MARIA ROJAS GOMEZ</t>
  </si>
  <si>
    <t>FERNANDO AUGUSTO GARCÍA BEJARANO</t>
  </si>
  <si>
    <t>NAYIBE RODRÍGUEZ MARTINEZ</t>
  </si>
  <si>
    <t>PAULA CAMILA GUTIÉRREZ BEJARANO</t>
  </si>
  <si>
    <t>DORA ELBA GUTIÉRREZ GUTIÉRREZ</t>
  </si>
  <si>
    <t xml:space="preserve">YHAMILA SALINAS RUANO </t>
  </si>
  <si>
    <t>JORGE ARMANDO SOLANO PEÑA</t>
  </si>
  <si>
    <t>MYRIAM OBANDO MARIN</t>
  </si>
  <si>
    <t>GLORIA PATRICIA ESPINOSA SALAZAR</t>
  </si>
  <si>
    <t xml:space="preserve">EDWIN JAVIER CIFUENTES VILLAMIZAR </t>
  </si>
  <si>
    <t>HERNAN DAVID OVALLE BRICEÑO</t>
  </si>
  <si>
    <t xml:space="preserve">DIEGO ANDRÉS SORA CORTÉS </t>
  </si>
  <si>
    <t>DIEGO ARMANDO CORONEL AVENDAÑO</t>
  </si>
  <si>
    <t>JUAN CARLOS PANTANO SEGURA</t>
  </si>
  <si>
    <t>DIANA PAOLA GONZÁLEZ MURILLO</t>
  </si>
  <si>
    <t>MERLY JOHANNA GARCIA</t>
  </si>
  <si>
    <t>JINNA PAOLA GERENA ROJAS</t>
  </si>
  <si>
    <t xml:space="preserve">JAVIER ERNESTO ROJAS DIAZ </t>
  </si>
  <si>
    <t>MATEO ANDRÉS SÁNCHEZ ORTEGA</t>
  </si>
  <si>
    <t>MERY MARÍA ROMERO MESTRE</t>
  </si>
  <si>
    <t xml:space="preserve">JOSÉ RAÚL PINILLA CHILLÓN </t>
  </si>
  <si>
    <t xml:space="preserve">GLADYS ROCÍO GUERRA FORERO </t>
  </si>
  <si>
    <t>EDGAR ANDRES CORTES TORRES</t>
  </si>
  <si>
    <t>GUILLERMO ÁVILA GONZÁLEZ</t>
  </si>
  <si>
    <t>MÓNICA MARÍA NAVARRETE</t>
  </si>
  <si>
    <t xml:space="preserve">MARTHA ESPERANZA MARTINEZ </t>
  </si>
  <si>
    <t>VÍCTOR MANUEL MOLANO BENITEZ</t>
  </si>
  <si>
    <t>PAOLA ANDREA LEÓN TORRES</t>
  </si>
  <si>
    <t>MONICA MERCEDEZ PEREZ PANTALEON</t>
  </si>
  <si>
    <t>JUAN ANTONIO CÁRDENAS ACEVEDO</t>
  </si>
  <si>
    <t>DANIEL FERNANDO ESLAVA RIOS</t>
  </si>
  <si>
    <t>ALEJANDRO CARRILLO RINCÓN</t>
  </si>
  <si>
    <t xml:space="preserve">LINA MARÍA PAEZ BOGOYA </t>
  </si>
  <si>
    <t>ENERIET DAZA ARIZA</t>
  </si>
  <si>
    <t>NATHALIA DEL PILAR CAMARGO CASALLAS</t>
  </si>
  <si>
    <t>ELÍAS CUBILLOS PARDO</t>
  </si>
  <si>
    <t>NEIL ANDRES LLAIN TORRADO</t>
  </si>
  <si>
    <t>YURI VIVIANA REYES BENITEZ</t>
  </si>
  <si>
    <t>HIPÓLITO ACOSTA FORERO</t>
  </si>
  <si>
    <t>CINTYA ALEXANDRA GAMEZ PARRA</t>
  </si>
  <si>
    <t>DIANA CAROLINA DIAZ MUNEVAR</t>
  </si>
  <si>
    <t xml:space="preserve">LEONARDO ALFONSO MOYA GUAJE </t>
  </si>
  <si>
    <t>KAREN LORENA MARÍN CALDERÓN</t>
  </si>
  <si>
    <t xml:space="preserve">JOAQUÍN RODRIGO CISNEROS GARCÍA </t>
  </si>
  <si>
    <t xml:space="preserve">RUBÉN ALVEIRO PALENCIA RIVEROS </t>
  </si>
  <si>
    <t>JAIRO EFRAIN MOJICA CASTELBLANCO</t>
  </si>
  <si>
    <t>JAIRO ENRIQUE GOMEZ BALLESTA</t>
  </si>
  <si>
    <t xml:space="preserve">TATIANA GOMEZ NISPERUZA </t>
  </si>
  <si>
    <t>ADRIANA FENID CASTIBLANCO GOMEZ</t>
  </si>
  <si>
    <t>LAURA VANESSA REINA BEDOYA</t>
  </si>
  <si>
    <t>INGRI JOHANA GALINDO CASTILLO</t>
  </si>
  <si>
    <t>DIANA TEOFILDE GOMEZ DÍAZ</t>
  </si>
  <si>
    <t>PAULA LORENA LEGUIZAMON MELO</t>
  </si>
  <si>
    <t>RAUL ALEJANDRO PARDO MORALES</t>
  </si>
  <si>
    <t>GIOVANNI SANCHEZ SABOGAL</t>
  </si>
  <si>
    <t>JOHANNA PATRICIA GUEVARA MACIAS</t>
  </si>
  <si>
    <t xml:space="preserve">CARMEN HOLANDA SOTOMONTE GUERRERO </t>
  </si>
  <si>
    <t>CRISTIAN EDUARDO CHÁVEZ SUÁREZ</t>
  </si>
  <si>
    <t>MAROLYM YISELH BERNAL TORO</t>
  </si>
  <si>
    <t>FROILAN OSWALDO MARTINEZ CORREA</t>
  </si>
  <si>
    <t xml:space="preserve">GUILLERMO FORERO APONTE </t>
  </si>
  <si>
    <t>DANNY JOEL CUBILLOS VELÁSQUEZ</t>
  </si>
  <si>
    <t>JHONATAN  ANDRÉS RUEDA TORRES</t>
  </si>
  <si>
    <t>SINDY YINETH ZAPATA MURILLO</t>
  </si>
  <si>
    <t xml:space="preserve">LUISA ALEJANDRA PEREZ PALACIO </t>
  </si>
  <si>
    <t>CESAR ALBERTO LEÓN MARTÍN</t>
  </si>
  <si>
    <t>PEDRO JESÚS SANCHEZ MOLINA</t>
  </si>
  <si>
    <t>DIANA PAOLA LOPEZ DUARTE</t>
  </si>
  <si>
    <t>NATALY ALEXANDRA RAMIREZ RODRÍGUEZ</t>
  </si>
  <si>
    <t>JUAN NORBERTO BERNAL FARIETTA</t>
  </si>
  <si>
    <t>JOHN EMMANUEL GOMEZ PORTILLA</t>
  </si>
  <si>
    <t>JUAN DAVID ARIZA HERRERA</t>
  </si>
  <si>
    <t>ALEX DIDIER CAMARGO SILVA</t>
  </si>
  <si>
    <t>RELACION DE CONTRATOS DE PRESTACION DE SERVICIOS PROFESIONALES Y DE APOYO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</si>
</sst>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164" formatCode="0.0%"/>
    <numFmt numFmtId="165" formatCode="0.000%"/>
    <numFmt numFmtId="166" formatCode="0.00000%"/>
    <numFmt numFmtId="167" formatCode="_-&quot;$&quot;\ * #,##0.00_-;\-&quot;$&quot;\ * #,##0.00_-;_-&quot;$&quot;\ * &quot;-&quot;_-;_-@_-"/>
    <numFmt numFmtId="168" formatCode="0.0000"/>
    <numFmt numFmtId="169" formatCode="0.0"/>
    <numFmt numFmtId="170" formatCode="dd/mm/yyyy"/>
    <numFmt numFmtId="171" formatCode="&quot;$&quot;\ #,##0"/>
    <numFmt numFmtId="172" formatCode="d/m/yyyy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5"/>
      <color rgb="FF201F1E"/>
      <name val="Helvetica Neue"/>
      <family val="2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Garamond"/>
      <family val="1"/>
    </font>
    <font>
      <sz val="11"/>
      <color rgb="FF00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</patternFill>
    </fill>
    <fill>
      <patternFill patternType="solid">
        <fgColor rgb="FFDA0F2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3" applyNumberFormat="0" applyAlignment="0" applyProtection="0"/>
    <xf numFmtId="0" fontId="9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/>
  </cellStyleXfs>
  <cellXfs count="4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9" fontId="0" fillId="0" borderId="1" xfId="2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9" fontId="6" fillId="2" borderId="1" xfId="3" applyNumberFormat="1" applyBorder="1" applyAlignment="1">
      <alignment horizontal="center"/>
    </xf>
    <xf numFmtId="0" fontId="6" fillId="2" borderId="1" xfId="3" applyBorder="1" applyAlignment="1">
      <alignment horizontal="center"/>
    </xf>
    <xf numFmtId="14" fontId="0" fillId="0" borderId="0" xfId="0" applyNumberFormat="1"/>
    <xf numFmtId="0" fontId="0" fillId="0" borderId="10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6" fillId="2" borderId="1" xfId="3" applyNumberFormat="1" applyBorder="1" applyAlignment="1">
      <alignment horizontal="center"/>
    </xf>
    <xf numFmtId="9" fontId="0" fillId="0" borderId="0" xfId="0" applyNumberFormat="1"/>
    <xf numFmtId="9" fontId="0" fillId="0" borderId="10" xfId="2" applyNumberFormat="1" applyFont="1" applyBorder="1" applyAlignment="1">
      <alignment horizontal="center"/>
    </xf>
    <xf numFmtId="9" fontId="6" fillId="2" borderId="10" xfId="3" applyNumberFormat="1" applyBorder="1" applyAlignment="1">
      <alignment horizontal="center"/>
    </xf>
    <xf numFmtId="9" fontId="0" fillId="0" borderId="10" xfId="2" applyFont="1" applyBorder="1" applyAlignment="1">
      <alignment horizontal="center"/>
    </xf>
    <xf numFmtId="9" fontId="0" fillId="0" borderId="6" xfId="0" applyNumberFormat="1" applyBorder="1"/>
    <xf numFmtId="0" fontId="0" fillId="0" borderId="10" xfId="0" applyBorder="1"/>
    <xf numFmtId="0" fontId="0" fillId="0" borderId="6" xfId="0" applyNumberFormat="1" applyBorder="1"/>
    <xf numFmtId="1" fontId="0" fillId="0" borderId="1" xfId="0" applyNumberFormat="1" applyBorder="1" applyAlignment="1">
      <alignment horizontal="center"/>
    </xf>
    <xf numFmtId="1" fontId="0" fillId="0" borderId="4" xfId="0" applyNumberFormat="1" applyBorder="1"/>
    <xf numFmtId="1" fontId="0" fillId="0" borderId="6" xfId="0" applyNumberFormat="1" applyBorder="1"/>
    <xf numFmtId="0" fontId="0" fillId="0" borderId="0" xfId="0" applyFill="1" applyBorder="1"/>
    <xf numFmtId="9" fontId="0" fillId="0" borderId="6" xfId="2" applyFont="1" applyBorder="1"/>
    <xf numFmtId="9" fontId="7" fillId="2" borderId="1" xfId="3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2" fontId="7" fillId="0" borderId="1" xfId="1" applyFont="1" applyBorder="1" applyAlignment="1">
      <alignment horizontal="center"/>
    </xf>
    <xf numFmtId="42" fontId="0" fillId="0" borderId="1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42" fontId="0" fillId="5" borderId="1" xfId="1" applyFont="1" applyFill="1" applyBorder="1" applyAlignment="1">
      <alignment horizontal="center"/>
    </xf>
    <xf numFmtId="10" fontId="0" fillId="5" borderId="10" xfId="2" applyNumberFormat="1" applyFont="1" applyFill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10" fontId="0" fillId="0" borderId="10" xfId="2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Fill="1" applyBorder="1" applyAlignment="1" applyProtection="1">
      <alignment horizontal="center" vertical="center"/>
    </xf>
    <xf numFmtId="14" fontId="0" fillId="0" borderId="1" xfId="0" applyNumberFormat="1" applyBorder="1"/>
    <xf numFmtId="9" fontId="0" fillId="0" borderId="1" xfId="2" applyFont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10" fontId="0" fillId="0" borderId="0" xfId="2" applyNumberFormat="1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42" fontId="0" fillId="0" borderId="1" xfId="1" applyFont="1" applyBorder="1" applyAlignment="1" applyProtection="1">
      <alignment vertical="center"/>
    </xf>
    <xf numFmtId="42" fontId="0" fillId="0" borderId="1" xfId="0" applyNumberFormat="1" applyBorder="1" applyAlignment="1" applyProtection="1">
      <alignment vertical="center"/>
    </xf>
    <xf numFmtId="0" fontId="5" fillId="0" borderId="6" xfId="6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7" fillId="4" borderId="1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11" fillId="0" borderId="6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10" fontId="0" fillId="0" borderId="0" xfId="2" applyNumberFormat="1" applyFont="1" applyBorder="1" applyAlignment="1" applyProtection="1">
      <alignment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9" fontId="0" fillId="0" borderId="1" xfId="2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42" fontId="0" fillId="0" borderId="1" xfId="1" applyFont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2" fontId="0" fillId="0" borderId="1" xfId="0" applyNumberFormat="1" applyBorder="1" applyAlignment="1" applyProtection="1">
      <alignment vertical="center"/>
      <protection hidden="1"/>
    </xf>
    <xf numFmtId="164" fontId="0" fillId="0" borderId="0" xfId="2" applyNumberFormat="1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7" fillId="0" borderId="1" xfId="3" applyFont="1" applyFill="1" applyBorder="1" applyAlignment="1" applyProtection="1">
      <alignment horizontal="center" vertical="center"/>
      <protection hidden="1"/>
    </xf>
    <xf numFmtId="164" fontId="0" fillId="0" borderId="1" xfId="2" applyNumberFormat="1" applyFont="1" applyBorder="1" applyAlignment="1" applyProtection="1">
      <alignment horizontal="center" vertical="center"/>
      <protection hidden="1"/>
    </xf>
    <xf numFmtId="0" fontId="5" fillId="0" borderId="0" xfId="6" applyFill="1" applyBorder="1" applyAlignment="1" applyProtection="1">
      <alignment horizontal="center" vertical="center" wrapText="1"/>
      <protection hidden="1"/>
    </xf>
    <xf numFmtId="0" fontId="5" fillId="0" borderId="0" xfId="6" applyFill="1" applyBorder="1" applyAlignment="1" applyProtection="1">
      <alignment horizontal="center" vertical="center"/>
      <protection hidden="1"/>
    </xf>
    <xf numFmtId="10" fontId="5" fillId="0" borderId="0" xfId="6" applyNumberFormat="1" applyFill="1" applyBorder="1" applyAlignment="1" applyProtection="1">
      <alignment horizontal="center" vertical="center"/>
      <protection hidden="1"/>
    </xf>
    <xf numFmtId="0" fontId="7" fillId="0" borderId="8" xfId="6" applyFont="1" applyFill="1" applyBorder="1" applyAlignment="1" applyProtection="1">
      <alignment vertical="center"/>
      <protection hidden="1"/>
    </xf>
    <xf numFmtId="1" fontId="7" fillId="0" borderId="8" xfId="6" applyNumberFormat="1" applyFont="1" applyFill="1" applyBorder="1" applyAlignment="1" applyProtection="1">
      <alignment vertical="center"/>
      <protection hidden="1"/>
    </xf>
    <xf numFmtId="0" fontId="5" fillId="0" borderId="0" xfId="6" applyFill="1" applyBorder="1" applyAlignment="1" applyProtection="1">
      <alignment vertical="center"/>
      <protection hidden="1"/>
    </xf>
    <xf numFmtId="10" fontId="5" fillId="0" borderId="0" xfId="6" applyNumberForma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166" fontId="0" fillId="0" borderId="1" xfId="2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0" fontId="0" fillId="0" borderId="0" xfId="2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6" fillId="0" borderId="0" xfId="3" applyFill="1" applyBorder="1" applyAlignment="1" applyProtection="1">
      <alignment horizontal="center" vertical="center"/>
      <protection hidden="1"/>
    </xf>
    <xf numFmtId="9" fontId="0" fillId="0" borderId="0" xfId="2" applyFont="1" applyFill="1" applyBorder="1" applyAlignment="1" applyProtection="1">
      <alignment horizontal="center" vertical="center"/>
      <protection hidden="1"/>
    </xf>
    <xf numFmtId="0" fontId="5" fillId="0" borderId="0" xfId="6" applyFill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5" fillId="0" borderId="8" xfId="6" applyFill="1" applyBorder="1" applyAlignment="1" applyProtection="1">
      <alignment horizontal="center" vertical="center" wrapText="1"/>
      <protection hidden="1"/>
    </xf>
    <xf numFmtId="0" fontId="5" fillId="0" borderId="9" xfId="6" applyFill="1" applyBorder="1" applyAlignment="1" applyProtection="1">
      <alignment horizontal="center" vertical="center"/>
      <protection hidden="1"/>
    </xf>
    <xf numFmtId="0" fontId="5" fillId="0" borderId="6" xfId="6" applyFill="1" applyBorder="1" applyAlignment="1" applyProtection="1">
      <alignment horizontal="center"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5" fillId="0" borderId="6" xfId="6" applyFill="1" applyBorder="1" applyAlignment="1" applyProtection="1">
      <alignment vertical="center"/>
      <protection hidden="1"/>
    </xf>
    <xf numFmtId="0" fontId="4" fillId="0" borderId="8" xfId="6" applyFont="1" applyFill="1" applyBorder="1" applyAlignment="1" applyProtection="1">
      <alignment horizontal="center" vertical="center" wrapText="1"/>
      <protection hidden="1"/>
    </xf>
    <xf numFmtId="0" fontId="4" fillId="0" borderId="8" xfId="6" applyFont="1" applyFill="1" applyBorder="1" applyAlignment="1" applyProtection="1">
      <alignment horizontal="center" vertical="center"/>
      <protection hidden="1"/>
    </xf>
    <xf numFmtId="164" fontId="4" fillId="0" borderId="8" xfId="6" applyNumberFormat="1" applyFont="1" applyFill="1" applyBorder="1" applyAlignment="1" applyProtection="1">
      <alignment horizontal="center" vertical="center"/>
      <protection hidden="1"/>
    </xf>
    <xf numFmtId="0" fontId="4" fillId="8" borderId="0" xfId="6" applyFont="1" applyFill="1" applyBorder="1" applyAlignment="1" applyProtection="1">
      <alignment horizontal="center" vertical="center"/>
      <protection hidden="1"/>
    </xf>
    <xf numFmtId="164" fontId="4" fillId="8" borderId="0" xfId="6" applyNumberFormat="1" applyFont="1" applyFill="1" applyBorder="1" applyAlignment="1" applyProtection="1">
      <alignment horizontal="center" vertical="center"/>
      <protection hidden="1"/>
    </xf>
    <xf numFmtId="9" fontId="4" fillId="8" borderId="0" xfId="6" applyNumberFormat="1" applyFont="1" applyFill="1" applyBorder="1" applyAlignment="1" applyProtection="1">
      <alignment horizontal="center" vertical="center"/>
      <protection hidden="1"/>
    </xf>
    <xf numFmtId="10" fontId="4" fillId="8" borderId="0" xfId="6" applyNumberFormat="1" applyFont="1" applyFill="1" applyBorder="1" applyAlignment="1" applyProtection="1">
      <alignment horizontal="center" vertical="center"/>
      <protection hidden="1"/>
    </xf>
    <xf numFmtId="1" fontId="4" fillId="8" borderId="0" xfId="6" applyNumberFormat="1" applyFont="1" applyFill="1" applyBorder="1" applyAlignment="1" applyProtection="1">
      <alignment horizontal="center" vertical="center"/>
      <protection hidden="1"/>
    </xf>
    <xf numFmtId="10" fontId="4" fillId="8" borderId="0" xfId="2" applyNumberFormat="1" applyFont="1" applyFill="1" applyBorder="1" applyAlignment="1" applyProtection="1">
      <alignment horizontal="center" vertical="center"/>
      <protection hidden="1"/>
    </xf>
    <xf numFmtId="14" fontId="1" fillId="0" borderId="1" xfId="3" applyNumberFormat="1" applyFont="1" applyFill="1" applyBorder="1" applyAlignment="1" applyProtection="1">
      <alignment horizontal="center" vertical="center"/>
      <protection hidden="1"/>
    </xf>
    <xf numFmtId="42" fontId="1" fillId="0" borderId="1" xfId="3" applyNumberFormat="1" applyFont="1" applyFill="1" applyBorder="1" applyAlignment="1" applyProtection="1">
      <alignment vertical="center"/>
      <protection hidden="1"/>
    </xf>
    <xf numFmtId="0" fontId="1" fillId="0" borderId="1" xfId="3" applyFont="1" applyFill="1" applyBorder="1" applyAlignment="1" applyProtection="1">
      <alignment horizontal="center" vertical="center"/>
      <protection hidden="1"/>
    </xf>
    <xf numFmtId="164" fontId="4" fillId="8" borderId="0" xfId="2" applyNumberFormat="1" applyFont="1" applyFill="1" applyBorder="1" applyAlignment="1" applyProtection="1">
      <alignment horizontal="center" vertical="center"/>
      <protection hidden="1"/>
    </xf>
    <xf numFmtId="1" fontId="1" fillId="0" borderId="1" xfId="0" applyNumberFormat="1" applyFont="1" applyFill="1" applyBorder="1" applyAlignment="1" applyProtection="1">
      <alignment horizontal="center" vertical="center"/>
      <protection hidden="1"/>
    </xf>
    <xf numFmtId="14" fontId="1" fillId="0" borderId="1" xfId="3" applyNumberFormat="1" applyFont="1" applyFill="1" applyBorder="1" applyAlignment="1" applyProtection="1">
      <alignment horizontal="center" vertical="center"/>
      <protection locked="0"/>
    </xf>
    <xf numFmtId="42" fontId="1" fillId="0" borderId="1" xfId="3" applyNumberFormat="1" applyFont="1" applyFill="1" applyBorder="1" applyAlignment="1" applyProtection="1">
      <alignment vertical="center"/>
      <protection locked="0"/>
    </xf>
    <xf numFmtId="164" fontId="4" fillId="8" borderId="0" xfId="6" applyNumberFormat="1" applyFont="1" applyFill="1" applyBorder="1" applyAlignment="1" applyProtection="1">
      <alignment vertical="center"/>
      <protection hidden="1"/>
    </xf>
    <xf numFmtId="0" fontId="4" fillId="8" borderId="0" xfId="6" applyFont="1" applyFill="1" applyBorder="1" applyAlignment="1" applyProtection="1">
      <alignment horizontal="center" vertical="center"/>
    </xf>
    <xf numFmtId="164" fontId="4" fillId="8" borderId="0" xfId="6" applyNumberFormat="1" applyFont="1" applyFill="1" applyBorder="1" applyAlignment="1" applyProtection="1">
      <alignment horizontal="center" vertical="center"/>
    </xf>
    <xf numFmtId="1" fontId="4" fillId="8" borderId="0" xfId="6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hidden="1"/>
    </xf>
    <xf numFmtId="0" fontId="1" fillId="0" borderId="0" xfId="3" applyFont="1" applyFill="1" applyBorder="1" applyAlignment="1" applyProtection="1">
      <alignment horizontal="center" vertical="center"/>
      <protection hidden="1"/>
    </xf>
    <xf numFmtId="164" fontId="0" fillId="0" borderId="0" xfId="2" applyNumberFormat="1" applyFont="1" applyBorder="1" applyAlignment="1" applyProtection="1">
      <alignment horizontal="center" vertical="center"/>
      <protection hidden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0" fillId="0" borderId="5" xfId="0" applyFill="1" applyBorder="1" applyAlignment="1" applyProtection="1">
      <alignment vertical="center"/>
      <protection hidden="1"/>
    </xf>
    <xf numFmtId="0" fontId="14" fillId="0" borderId="7" xfId="0" applyFont="1" applyFill="1" applyBorder="1" applyAlignment="1" applyProtection="1">
      <alignment vertical="center"/>
      <protection hidden="1"/>
    </xf>
    <xf numFmtId="0" fontId="14" fillId="0" borderId="8" xfId="6" applyFont="1" applyFill="1" applyBorder="1" applyAlignment="1" applyProtection="1">
      <alignment vertical="center"/>
      <protection hidden="1"/>
    </xf>
    <xf numFmtId="1" fontId="14" fillId="0" borderId="8" xfId="6" applyNumberFormat="1" applyFont="1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hidden="1"/>
    </xf>
    <xf numFmtId="167" fontId="0" fillId="0" borderId="1" xfId="1" applyNumberFormat="1" applyFont="1" applyBorder="1" applyAlignment="1" applyProtection="1">
      <alignment vertical="center"/>
    </xf>
    <xf numFmtId="0" fontId="0" fillId="0" borderId="8" xfId="0" applyFill="1" applyBorder="1" applyAlignment="1" applyProtection="1">
      <alignment horizontal="center" vertical="center"/>
      <protection hidden="1"/>
    </xf>
    <xf numFmtId="42" fontId="1" fillId="0" borderId="8" xfId="3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8" borderId="0" xfId="6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7" fillId="0" borderId="1" xfId="3" applyFont="1" applyFill="1" applyBorder="1" applyAlignment="1" applyProtection="1">
      <alignment horizontal="center" vertical="center"/>
      <protection hidden="1"/>
    </xf>
    <xf numFmtId="0" fontId="1" fillId="0" borderId="1" xfId="3" applyFont="1" applyFill="1" applyBorder="1" applyAlignment="1" applyProtection="1">
      <alignment horizontal="center" vertical="center"/>
      <protection hidden="1"/>
    </xf>
    <xf numFmtId="164" fontId="0" fillId="0" borderId="1" xfId="2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64" fontId="4" fillId="8" borderId="0" xfId="6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4" fillId="0" borderId="0" xfId="6" applyFont="1" applyFill="1" applyBorder="1" applyAlignment="1" applyProtection="1">
      <alignment horizontal="center" vertical="center" wrapText="1"/>
      <protection hidden="1"/>
    </xf>
    <xf numFmtId="0" fontId="4" fillId="0" borderId="0" xfId="6" applyFont="1" applyFill="1" applyBorder="1" applyAlignment="1" applyProtection="1">
      <alignment horizontal="center" vertical="center"/>
      <protection hidden="1"/>
    </xf>
    <xf numFmtId="164" fontId="4" fillId="0" borderId="0" xfId="6" applyNumberFormat="1" applyFont="1" applyFill="1" applyBorder="1" applyAlignment="1" applyProtection="1">
      <alignment horizontal="center" vertical="center"/>
      <protection hidden="1"/>
    </xf>
    <xf numFmtId="0" fontId="4" fillId="8" borderId="0" xfId="6" applyFont="1" applyFill="1" applyBorder="1" applyAlignment="1" applyProtection="1">
      <alignment vertical="center"/>
      <protection hidden="1"/>
    </xf>
    <xf numFmtId="10" fontId="4" fillId="8" borderId="0" xfId="6" applyNumberFormat="1" applyFont="1" applyFill="1" applyBorder="1" applyAlignment="1" applyProtection="1">
      <alignment vertical="center"/>
      <protection hidden="1"/>
    </xf>
    <xf numFmtId="0" fontId="4" fillId="8" borderId="0" xfId="6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4" fontId="4" fillId="8" borderId="0" xfId="6" applyNumberFormat="1" applyFont="1" applyFill="1" applyBorder="1" applyAlignment="1" applyProtection="1">
      <alignment horizontal="center" vertical="center"/>
      <protection hidden="1"/>
    </xf>
    <xf numFmtId="0" fontId="1" fillId="0" borderId="1" xfId="3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4" fillId="8" borderId="0" xfId="6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4" fillId="8" borderId="0" xfId="6" applyNumberFormat="1" applyFont="1" applyFill="1" applyBorder="1" applyAlignment="1" applyProtection="1">
      <alignment horizontal="center" vertical="center"/>
      <protection hidden="1"/>
    </xf>
    <xf numFmtId="0" fontId="7" fillId="0" borderId="1" xfId="3" applyFont="1" applyFill="1" applyBorder="1" applyAlignment="1" applyProtection="1">
      <alignment horizontal="center" vertical="center"/>
      <protection hidden="1"/>
    </xf>
    <xf numFmtId="0" fontId="1" fillId="0" borderId="1" xfId="3" applyFont="1" applyFill="1" applyBorder="1" applyAlignment="1" applyProtection="1">
      <alignment horizontal="center" vertical="center"/>
      <protection hidden="1"/>
    </xf>
    <xf numFmtId="164" fontId="0" fillId="0" borderId="1" xfId="2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168" fontId="0" fillId="0" borderId="0" xfId="0" applyNumberFormat="1" applyAlignment="1" applyProtection="1">
      <alignment vertical="center"/>
      <protection hidden="1"/>
    </xf>
    <xf numFmtId="3" fontId="17" fillId="0" borderId="0" xfId="0" applyNumberFormat="1" applyFont="1"/>
    <xf numFmtId="3" fontId="0" fillId="0" borderId="0" xfId="0" applyNumberFormat="1" applyAlignment="1" applyProtection="1">
      <alignment vertical="center"/>
      <protection hidden="1"/>
    </xf>
    <xf numFmtId="14" fontId="0" fillId="0" borderId="0" xfId="0" applyNumberFormat="1" applyBorder="1" applyAlignment="1" applyProtection="1">
      <alignment vertical="center"/>
      <protection hidden="1"/>
    </xf>
    <xf numFmtId="14" fontId="0" fillId="0" borderId="8" xfId="0" applyNumberFormat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4" fillId="8" borderId="8" xfId="6" applyFont="1" applyFill="1" applyBorder="1" applyAlignment="1" applyProtection="1">
      <alignment horizontal="center" vertical="center"/>
      <protection hidden="1"/>
    </xf>
    <xf numFmtId="164" fontId="4" fillId="8" borderId="8" xfId="6" applyNumberFormat="1" applyFont="1" applyFill="1" applyBorder="1" applyAlignment="1" applyProtection="1">
      <alignment horizontal="center" vertical="center"/>
      <protection hidden="1"/>
    </xf>
    <xf numFmtId="14" fontId="0" fillId="0" borderId="1" xfId="3" applyNumberFormat="1" applyFont="1" applyFill="1" applyBorder="1" applyAlignment="1" applyProtection="1">
      <alignment horizontal="center" vertical="center"/>
      <protection hidden="1"/>
    </xf>
    <xf numFmtId="9" fontId="4" fillId="0" borderId="8" xfId="6" applyNumberFormat="1" applyFont="1" applyFill="1" applyBorder="1" applyAlignment="1" applyProtection="1">
      <alignment horizontal="center" vertical="center"/>
      <protection hidden="1"/>
    </xf>
    <xf numFmtId="42" fontId="0" fillId="0" borderId="11" xfId="1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164" fontId="0" fillId="0" borderId="1" xfId="2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4" fontId="0" fillId="0" borderId="1" xfId="2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9" fontId="0" fillId="0" borderId="0" xfId="2" applyFont="1" applyBorder="1" applyAlignment="1" applyProtection="1">
      <alignment horizontal="center" vertical="center"/>
      <protection hidden="1"/>
    </xf>
    <xf numFmtId="164" fontId="0" fillId="0" borderId="6" xfId="2" applyNumberFormat="1" applyFont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 wrapText="1"/>
      <protection hidden="1"/>
    </xf>
    <xf numFmtId="9" fontId="4" fillId="0" borderId="0" xfId="6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Border="1" applyAlignment="1" applyProtection="1">
      <alignment vertical="center"/>
      <protection hidden="1"/>
    </xf>
    <xf numFmtId="1" fontId="0" fillId="0" borderId="1" xfId="0" applyNumberFormat="1" applyBorder="1" applyAlignment="1" applyProtection="1">
      <alignment horizontal="center" vertical="center" wrapText="1"/>
      <protection hidden="1"/>
    </xf>
    <xf numFmtId="169" fontId="0" fillId="0" borderId="1" xfId="0" applyNumberFormat="1" applyBorder="1" applyAlignment="1" applyProtection="1">
      <alignment horizontal="center" vertical="center" wrapText="1"/>
      <protection hidden="1"/>
    </xf>
    <xf numFmtId="9" fontId="0" fillId="0" borderId="1" xfId="2" applyNumberFormat="1" applyFont="1" applyBorder="1" applyAlignment="1" applyProtection="1">
      <alignment horizontal="center" vertical="center" wrapText="1"/>
      <protection hidden="1"/>
    </xf>
    <xf numFmtId="164" fontId="0" fillId="0" borderId="1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70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/>
    <xf numFmtId="171" fontId="22" fillId="0" borderId="0" xfId="0" applyNumberFormat="1" applyFont="1"/>
    <xf numFmtId="0" fontId="22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71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171" fontId="22" fillId="0" borderId="1" xfId="0" applyNumberFormat="1" applyFont="1" applyBorder="1" applyAlignment="1">
      <alignment horizontal="right" vertical="center"/>
    </xf>
    <xf numFmtId="171" fontId="22" fillId="0" borderId="0" xfId="0" applyNumberFormat="1" applyFont="1" applyAlignment="1">
      <alignment horizontal="right"/>
    </xf>
    <xf numFmtId="9" fontId="22" fillId="0" borderId="1" xfId="0" applyNumberFormat="1" applyFont="1" applyBorder="1" applyAlignment="1">
      <alignment horizontal="center" vertical="center"/>
    </xf>
    <xf numFmtId="9" fontId="22" fillId="0" borderId="1" xfId="0" applyNumberFormat="1" applyFont="1" applyBorder="1" applyAlignment="1">
      <alignment horizontal="center" vertical="center" wrapText="1"/>
    </xf>
    <xf numFmtId="164" fontId="22" fillId="0" borderId="1" xfId="2" applyNumberFormat="1" applyFont="1" applyBorder="1" applyAlignment="1">
      <alignment horizontal="center" vertical="center" wrapText="1"/>
    </xf>
    <xf numFmtId="9" fontId="22" fillId="0" borderId="1" xfId="2" applyFont="1" applyBorder="1" applyAlignment="1">
      <alignment horizontal="center" vertical="center"/>
    </xf>
    <xf numFmtId="9" fontId="22" fillId="0" borderId="1" xfId="2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hidden="1"/>
    </xf>
    <xf numFmtId="0" fontId="14" fillId="1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10" borderId="0" xfId="0" applyFont="1" applyFill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4" fillId="8" borderId="0" xfId="6" applyFont="1" applyFill="1" applyBorder="1" applyAlignment="1" applyProtection="1">
      <alignment horizontal="center" vertical="center"/>
      <protection hidden="1"/>
    </xf>
    <xf numFmtId="164" fontId="4" fillId="8" borderId="0" xfId="6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" fillId="0" borderId="1" xfId="3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64" fontId="0" fillId="0" borderId="0" xfId="2" applyNumberFormat="1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169" fontId="0" fillId="0" borderId="1" xfId="0" applyNumberFormat="1" applyBorder="1" applyAlignment="1" applyProtection="1">
      <alignment horizontal="center" vertical="center"/>
      <protection hidden="1"/>
    </xf>
    <xf numFmtId="169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11" borderId="1" xfId="0" applyFill="1" applyBorder="1" applyAlignment="1" applyProtection="1">
      <alignment horizontal="center" vertical="center"/>
      <protection hidden="1"/>
    </xf>
    <xf numFmtId="169" fontId="0" fillId="11" borderId="1" xfId="0" applyNumberFormat="1" applyFill="1" applyBorder="1" applyAlignment="1" applyProtection="1">
      <alignment horizontal="center" vertical="center" wrapText="1"/>
      <protection hidden="1"/>
    </xf>
    <xf numFmtId="164" fontId="0" fillId="11" borderId="1" xfId="2" applyNumberFormat="1" applyFont="1" applyFill="1" applyBorder="1" applyAlignment="1" applyProtection="1">
      <alignment horizontal="center" vertical="center"/>
      <protection hidden="1"/>
    </xf>
    <xf numFmtId="42" fontId="1" fillId="0" borderId="16" xfId="3" applyNumberFormat="1" applyFont="1" applyFill="1" applyBorder="1" applyAlignment="1" applyProtection="1">
      <alignment vertical="center"/>
      <protection hidden="1"/>
    </xf>
    <xf numFmtId="9" fontId="0" fillId="0" borderId="0" xfId="0" applyNumberFormat="1" applyAlignment="1" applyProtection="1">
      <alignment vertical="center"/>
      <protection hidden="1"/>
    </xf>
    <xf numFmtId="164" fontId="4" fillId="8" borderId="0" xfId="6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4" fillId="8" borderId="0" xfId="6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4" fillId="8" borderId="0" xfId="5" applyFont="1" applyFill="1" applyBorder="1" applyAlignment="1" applyProtection="1">
      <alignment horizontal="center" vertical="center"/>
      <protection hidden="1"/>
    </xf>
    <xf numFmtId="0" fontId="1" fillId="0" borderId="1" xfId="3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1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4" fontId="0" fillId="0" borderId="1" xfId="2" applyNumberFormat="1" applyFont="1" applyBorder="1" applyAlignment="1" applyProtection="1">
      <alignment horizontal="center" vertical="center"/>
      <protection hidden="1"/>
    </xf>
    <xf numFmtId="1" fontId="0" fillId="0" borderId="1" xfId="0" applyNumberFormat="1" applyFill="1" applyBorder="1" applyAlignment="1" applyProtection="1">
      <alignment horizontal="center" vertical="center" wrapText="1"/>
      <protection hidden="1"/>
    </xf>
    <xf numFmtId="10" fontId="22" fillId="0" borderId="0" xfId="2" applyNumberFormat="1" applyFont="1"/>
    <xf numFmtId="169" fontId="0" fillId="0" borderId="1" xfId="0" applyNumberFormat="1" applyFill="1" applyBorder="1" applyAlignment="1" applyProtection="1">
      <alignment horizontal="center" vertical="center" wrapText="1"/>
      <protection hidden="1"/>
    </xf>
    <xf numFmtId="164" fontId="0" fillId="0" borderId="1" xfId="2" applyNumberFormat="1" applyFont="1" applyFill="1" applyBorder="1" applyAlignment="1" applyProtection="1">
      <alignment horizontal="center" vertical="center"/>
      <protection hidden="1"/>
    </xf>
    <xf numFmtId="0" fontId="10" fillId="6" borderId="13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6" borderId="13" xfId="4" applyFont="1" applyFill="1" applyAlignment="1">
      <alignment horizontal="center"/>
    </xf>
    <xf numFmtId="0" fontId="5" fillId="7" borderId="13" xfId="6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>
      <alignment horizontal="center" vertical="center" wrapText="1"/>
    </xf>
    <xf numFmtId="0" fontId="4" fillId="8" borderId="0" xfId="6" applyFont="1" applyFill="1" applyBorder="1" applyAlignment="1" applyProtection="1">
      <alignment horizontal="center" vertical="center"/>
      <protection hidden="1"/>
    </xf>
    <xf numFmtId="164" fontId="4" fillId="8" borderId="0" xfId="6" applyNumberFormat="1" applyFont="1" applyFill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4" fillId="8" borderId="0" xfId="5" applyFont="1" applyFill="1" applyBorder="1" applyAlignment="1" applyProtection="1">
      <alignment horizontal="center" vertical="center" wrapText="1"/>
      <protection hidden="1"/>
    </xf>
    <xf numFmtId="0" fontId="15" fillId="8" borderId="0" xfId="6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18" fillId="0" borderId="1" xfId="5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4" fillId="8" borderId="0" xfId="6" applyFont="1" applyFill="1" applyBorder="1" applyAlignment="1" applyProtection="1">
      <alignment horizontal="center" vertical="center" wrapText="1"/>
      <protection hidden="1"/>
    </xf>
    <xf numFmtId="0" fontId="4" fillId="8" borderId="0" xfId="5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3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" xfId="3" applyFont="1" applyFill="1" applyBorder="1" applyAlignment="1" applyProtection="1">
      <alignment horizontal="center" vertical="center"/>
      <protection hidden="1"/>
    </xf>
    <xf numFmtId="0" fontId="1" fillId="0" borderId="1" xfId="3" applyFont="1" applyFill="1" applyBorder="1" applyAlignment="1" applyProtection="1">
      <alignment horizontal="center" vertical="center"/>
      <protection hidden="1"/>
    </xf>
    <xf numFmtId="164" fontId="0" fillId="0" borderId="1" xfId="2" applyNumberFormat="1" applyFont="1" applyBorder="1" applyAlignment="1" applyProtection="1">
      <alignment horizontal="center" vertical="center"/>
      <protection hidden="1"/>
    </xf>
    <xf numFmtId="0" fontId="0" fillId="0" borderId="1" xfId="3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4" fillId="8" borderId="0" xfId="6" applyFont="1" applyFill="1" applyBorder="1" applyAlignment="1" applyProtection="1">
      <alignment horizontal="center" vertical="center" wrapText="1"/>
    </xf>
    <xf numFmtId="0" fontId="4" fillId="8" borderId="0" xfId="5" applyFont="1" applyFill="1" applyAlignment="1">
      <alignment horizontal="center"/>
    </xf>
    <xf numFmtId="0" fontId="0" fillId="0" borderId="1" xfId="0" applyBorder="1" applyAlignment="1" applyProtection="1">
      <alignment horizontal="left" vertical="center"/>
    </xf>
    <xf numFmtId="164" fontId="4" fillId="8" borderId="0" xfId="6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1" fontId="0" fillId="0" borderId="1" xfId="0" applyNumberForma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center" vertical="center"/>
    </xf>
    <xf numFmtId="10" fontId="4" fillId="8" borderId="0" xfId="6" applyNumberFormat="1" applyFont="1" applyFill="1" applyBorder="1" applyAlignment="1" applyProtection="1">
      <alignment horizontal="center" vertical="center"/>
      <protection hidden="1"/>
    </xf>
    <xf numFmtId="165" fontId="4" fillId="8" borderId="0" xfId="6" applyNumberFormat="1" applyFont="1" applyFill="1" applyBorder="1" applyAlignment="1" applyProtection="1">
      <alignment horizontal="center" vertical="center"/>
      <protection hidden="1"/>
    </xf>
    <xf numFmtId="0" fontId="0" fillId="0" borderId="10" xfId="3" applyFont="1" applyFill="1" applyBorder="1" applyAlignment="1" applyProtection="1">
      <alignment horizontal="center" vertical="center"/>
      <protection hidden="1"/>
    </xf>
    <xf numFmtId="0" fontId="1" fillId="0" borderId="11" xfId="3" applyFont="1" applyFill="1" applyBorder="1" applyAlignment="1" applyProtection="1">
      <alignment horizontal="center" vertical="center"/>
      <protection hidden="1"/>
    </xf>
    <xf numFmtId="0" fontId="1" fillId="0" borderId="10" xfId="3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64" fontId="0" fillId="0" borderId="0" xfId="2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Alignment="1">
      <alignment horizontal="center" vertical="center"/>
    </xf>
    <xf numFmtId="0" fontId="15" fillId="8" borderId="0" xfId="5" applyFont="1" applyFill="1" applyBorder="1" applyAlignment="1" applyProtection="1">
      <alignment horizontal="center" vertical="center"/>
      <protection hidden="1"/>
    </xf>
    <xf numFmtId="0" fontId="0" fillId="11" borderId="1" xfId="0" applyFill="1" applyBorder="1" applyAlignment="1" applyProtection="1">
      <alignment horizontal="center" vertical="center" wrapText="1"/>
      <protection hidden="1"/>
    </xf>
    <xf numFmtId="0" fontId="4" fillId="8" borderId="0" xfId="6" applyFont="1" applyFill="1" applyBorder="1" applyAlignment="1" applyProtection="1">
      <alignment horizontal="right" vertical="center"/>
      <protection hidden="1"/>
    </xf>
    <xf numFmtId="0" fontId="26" fillId="0" borderId="2" xfId="11" applyFont="1" applyBorder="1" applyAlignment="1">
      <alignment horizontal="center" vertical="center"/>
    </xf>
    <xf numFmtId="0" fontId="26" fillId="0" borderId="3" xfId="11" applyFont="1" applyBorder="1" applyAlignment="1">
      <alignment horizontal="center" vertical="center"/>
    </xf>
    <xf numFmtId="0" fontId="26" fillId="0" borderId="4" xfId="1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171" fontId="22" fillId="0" borderId="1" xfId="0" applyNumberFormat="1" applyFont="1" applyBorder="1" applyAlignment="1">
      <alignment horizontal="right" vertical="center" wrapText="1"/>
    </xf>
    <xf numFmtId="172" fontId="22" fillId="0" borderId="1" xfId="0" applyNumberFormat="1" applyFont="1" applyBorder="1" applyAlignment="1">
      <alignment horizontal="center" vertical="center" wrapText="1"/>
    </xf>
    <xf numFmtId="171" fontId="0" fillId="0" borderId="0" xfId="0" applyNumberFormat="1"/>
    <xf numFmtId="0" fontId="23" fillId="0" borderId="14" xfId="0" applyFont="1" applyBorder="1" applyAlignment="1">
      <alignment horizontal="center" vertical="center" wrapText="1"/>
    </xf>
  </cellXfs>
  <cellStyles count="12">
    <cellStyle name="Bueno" xfId="3" builtinId="26"/>
    <cellStyle name="Cálculo" xfId="4" builtinId="22"/>
    <cellStyle name="Énfasis5" xfId="6" builtinId="45"/>
    <cellStyle name="Hipervínculo" xfId="5" builtinId="8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Moneda [0]" xfId="1" builtinId="7"/>
    <cellStyle name="Normal" xfId="0" builtinId="0"/>
    <cellStyle name="Normal 6" xfId="11" xr:uid="{36D5D5C3-1F89-4819-94B8-BA8B45E22ADD}"/>
    <cellStyle name="Porcentaje" xfId="2" builtinId="5"/>
  </cellStyles>
  <dxfs count="0"/>
  <tableStyles count="0" defaultTableStyle="TableStyleMedium2" defaultPivotStyle="PivotStyleLight16"/>
  <colors>
    <mruColors>
      <color rgb="FF008000"/>
      <color rgb="FFDA0F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ESTADO</a:t>
            </a:r>
            <a:r>
              <a:rPr lang="es-CO" b="1" baseline="0">
                <a:solidFill>
                  <a:schemeClr val="tx1"/>
                </a:solidFill>
              </a:rPr>
              <a:t> PROYECTO 1532 - AMBIENTE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C40-4A01-BFBC-2611DCC689B3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40-4A01-BFBC-2611DCC689B3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C40-4A01-BFBC-2611DCC689B3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40-4A01-BFBC-2611DCC689B3}"/>
              </c:ext>
            </c:extLst>
          </c:dPt>
          <c:dLbls>
            <c:dLbl>
              <c:idx val="0"/>
              <c:layout>
                <c:manualLayout>
                  <c:x val="-9.7149122807017499E-2"/>
                  <c:y val="0.144620277777778"/>
                </c:manualLayout>
              </c:layout>
              <c:tx>
                <c:rich>
                  <a:bodyPr/>
                  <a:lstStyle/>
                  <a:p>
                    <a:fld id="{BBCF1899-65B2-43A0-AE91-B991D1BA6DD8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C40-4A01-BFBC-2611DCC689B3}"/>
                </c:ext>
              </c:extLst>
            </c:dLbl>
            <c:dLbl>
              <c:idx val="1"/>
              <c:layout>
                <c:manualLayout>
                  <c:x val="-0.12404970760233899"/>
                  <c:y val="-0.10978694444444401"/>
                </c:manualLayout>
              </c:layout>
              <c:tx>
                <c:rich>
                  <a:bodyPr/>
                  <a:lstStyle/>
                  <a:p>
                    <a:fld id="{76386DAE-0EAF-411B-9320-72F7D016AD27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C40-4A01-BFBC-2611DCC689B3}"/>
                </c:ext>
              </c:extLst>
            </c:dLbl>
            <c:dLbl>
              <c:idx val="2"/>
              <c:layout>
                <c:manualLayout>
                  <c:x val="3.8859649122806997E-2"/>
                  <c:y val="-0.152555555555556"/>
                </c:manualLayout>
              </c:layout>
              <c:tx>
                <c:rich>
                  <a:bodyPr/>
                  <a:lstStyle/>
                  <a:p>
                    <a:fld id="{72FCDE52-E673-4828-8E4E-9C7B519DC886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C40-4A01-BFBC-2611DCC689B3}"/>
                </c:ext>
              </c:extLst>
            </c:dLbl>
            <c:dLbl>
              <c:idx val="3"/>
              <c:layout>
                <c:manualLayout>
                  <c:x val="0.2128216374269"/>
                  <c:y val="-0.28791666666666699"/>
                </c:manualLayout>
              </c:layout>
              <c:tx>
                <c:rich>
                  <a:bodyPr/>
                  <a:lstStyle/>
                  <a:p>
                    <a:fld id="{3A799196-69CB-4626-B6BE-2B3D8448B603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C40-4A01-BFBC-2611DCC689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GRAFICAS!$D$10:$D$13</c:f>
              <c:numCache>
                <c:formatCode>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</c:numCache>
            </c:numRef>
          </c:cat>
          <c:val>
            <c:numRef>
              <c:f>GRAFICAS!$E$10:$E$13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0.19999999999999996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0-4A01-BFBC-2611DCC689B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270"/>
        <c:holeSize val="50"/>
      </c:doughnutChart>
      <c:scatterChart>
        <c:scatterStyle val="smoothMarker"/>
        <c:varyColors val="0"/>
        <c:ser>
          <c:idx val="1"/>
          <c:order val="1"/>
          <c:tx>
            <c:strRef>
              <c:f>GRAFICAS!$C$26</c:f>
              <c:strCache>
                <c:ptCount val="1"/>
                <c:pt idx="0">
                  <c:v>Físico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  <a:headEnd type="none" w="lg" len="sm"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GRAFICAS!$D$27:$D$28</c:f>
              <c:numCache>
                <c:formatCode>General</c:formatCode>
                <c:ptCount val="2"/>
                <c:pt idx="0">
                  <c:v>0</c:v>
                </c:pt>
                <c:pt idx="1">
                  <c:v>0.97858090432547207</c:v>
                </c:pt>
              </c:numCache>
            </c:numRef>
          </c:xVal>
          <c:yVal>
            <c:numRef>
              <c:f>GRAFICAS!$E$27:$E$28</c:f>
              <c:numCache>
                <c:formatCode>General</c:formatCode>
                <c:ptCount val="2"/>
                <c:pt idx="0">
                  <c:v>0</c:v>
                </c:pt>
                <c:pt idx="1">
                  <c:v>0.20586260876988141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C40-4A01-BFBC-2611DCC689B3}"/>
            </c:ext>
          </c:extLst>
        </c:ser>
        <c:ser>
          <c:idx val="2"/>
          <c:order val="2"/>
          <c:tx>
            <c:strRef>
              <c:f>GRAFICAS!$C$30</c:f>
              <c:strCache>
                <c:ptCount val="1"/>
                <c:pt idx="0">
                  <c:v>Financiero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  <a:tailEnd type="triangle"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GRAFICAS!$D$31:$D$32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GRAFICAS!$E$31:$E$32</c:f>
              <c:numCache>
                <c:formatCode>General</c:formatCode>
                <c:ptCount val="2"/>
                <c:pt idx="0">
                  <c:v>0</c:v>
                </c:pt>
                <c:pt idx="1">
                  <c:v>1.22514845490862E-16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C40-4A01-BFBC-2611DCC689B3}"/>
            </c:ext>
          </c:extLst>
        </c:ser>
        <c:ser>
          <c:idx val="3"/>
          <c:order val="3"/>
          <c:tx>
            <c:strRef>
              <c:f>GRAFICAS!$C$34</c:f>
              <c:strCache>
                <c:ptCount val="1"/>
                <c:pt idx="0">
                  <c:v>Tiempo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DotDot"/>
              <a:round/>
              <a:tailEnd type="none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20-BC40-4A01-BFBC-2611DCC689B3}"/>
              </c:ext>
            </c:extLst>
          </c:dPt>
          <c:dLbls>
            <c:delete val="1"/>
          </c:dLbls>
          <c:xVal>
            <c:numRef>
              <c:f>GRAFICAS!$D$35:$D$36</c:f>
              <c:numCache>
                <c:formatCode>General</c:formatCode>
                <c:ptCount val="2"/>
                <c:pt idx="0">
                  <c:v>0</c:v>
                </c:pt>
                <c:pt idx="1">
                  <c:v>0.88313974932381578</c:v>
                </c:pt>
              </c:numCache>
            </c:numRef>
          </c:xVal>
          <c:yVal>
            <c:numRef>
              <c:f>GRAFICAS!$E$35:$E$36</c:f>
              <c:numCache>
                <c:formatCode>General</c:formatCode>
                <c:ptCount val="2"/>
                <c:pt idx="0">
                  <c:v>0</c:v>
                </c:pt>
                <c:pt idx="1">
                  <c:v>0.46910999047586671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F-BC40-4A01-BFBC-2611DCC689B3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302703984"/>
        <c:axId val="302702208"/>
      </c:scatterChart>
      <c:valAx>
        <c:axId val="30270220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02703984"/>
        <c:crossesAt val="0"/>
        <c:crossBetween val="midCat"/>
      </c:valAx>
      <c:valAx>
        <c:axId val="302703984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302702208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0484078947368398"/>
          <c:y val="0.54888499999999996"/>
          <c:w val="0.40246856725146202"/>
          <c:h val="5.953166666666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 PROYECTO 1533 - DOTACIÓN JARDÍNES 2019</a:t>
            </a:r>
          </a:p>
        </c:rich>
      </c:tx>
      <c:layout>
        <c:manualLayout>
          <c:xMode val="edge"/>
          <c:yMode val="edge"/>
          <c:x val="0.19334866526255401"/>
          <c:y val="2.8222222222222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38199927281366"/>
          <c:y val="0.17196555555555601"/>
          <c:w val="0.32360028453182299"/>
          <c:h val="0.64624361111111095"/>
        </c:manualLayout>
      </c:layout>
      <c:doughnutChart>
        <c:varyColors val="1"/>
        <c:ser>
          <c:idx val="0"/>
          <c:order val="0"/>
          <c:spPr>
            <a:solidFill>
              <a:srgbClr val="008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D4-4823-909B-EEBC35E2168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D4-4823-909B-EEBC35E21686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D4-4823-909B-EEBC35E21686}"/>
              </c:ext>
            </c:extLst>
          </c:dPt>
          <c:dPt>
            <c:idx val="3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CD4-4823-909B-EEBC35E21686}"/>
              </c:ext>
            </c:extLst>
          </c:dPt>
          <c:dLbls>
            <c:dLbl>
              <c:idx val="0"/>
              <c:layout>
                <c:manualLayout>
                  <c:x val="-8.9122807017543798E-2"/>
                  <c:y val="0.137583333333333"/>
                </c:manualLayout>
              </c:layout>
              <c:tx>
                <c:rich>
                  <a:bodyPr/>
                  <a:lstStyle/>
                  <a:p>
                    <a:fld id="{CBF131EA-830F-48D1-9995-FD85EF4EBC99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CD4-4823-909B-EEBC35E21686}"/>
                </c:ext>
              </c:extLst>
            </c:dLbl>
            <c:dLbl>
              <c:idx val="1"/>
              <c:layout>
                <c:manualLayout>
                  <c:x val="-0.124400584795322"/>
                  <c:y val="-0.105833333333333"/>
                </c:manualLayout>
              </c:layout>
              <c:tx>
                <c:rich>
                  <a:bodyPr/>
                  <a:lstStyle/>
                  <a:p>
                    <a:fld id="{2C6F0A2F-DE2C-4A9D-8AE6-25DF8A508D47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CD4-4823-909B-EEBC35E21686}"/>
                </c:ext>
              </c:extLst>
            </c:dLbl>
            <c:dLbl>
              <c:idx val="2"/>
              <c:layout>
                <c:manualLayout>
                  <c:x val="3.5277777777777797E-2"/>
                  <c:y val="-0.15169444444444499"/>
                </c:manualLayout>
              </c:layout>
              <c:tx>
                <c:rich>
                  <a:bodyPr/>
                  <a:lstStyle/>
                  <a:p>
                    <a:fld id="{0421B15D-3B82-47F2-8E88-63C5416B18A1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CD4-4823-909B-EEBC35E21686}"/>
                </c:ext>
              </c:extLst>
            </c:dLbl>
            <c:dLbl>
              <c:idx val="3"/>
              <c:layout>
                <c:manualLayout>
                  <c:x val="0.209809941520468"/>
                  <c:y val="-0.296333333333333"/>
                </c:manualLayout>
              </c:layout>
              <c:tx>
                <c:rich>
                  <a:bodyPr/>
                  <a:lstStyle/>
                  <a:p>
                    <a:fld id="{462B20E6-4138-4E45-97FE-CE819BE2F0F4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CD4-4823-909B-EEBC35E216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GRAFICAS!$D$364:$D$367</c:f>
              <c:numCache>
                <c:formatCode>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</c:numCache>
            </c:numRef>
          </c:cat>
          <c:val>
            <c:numRef>
              <c:f>GRAFICAS!$E$364:$E$367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0.19999999999999996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D4-4823-909B-EEBC35E216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70"/>
        <c:holeSize val="50"/>
      </c:doughnutChart>
      <c:scatterChart>
        <c:scatterStyle val="smoothMarker"/>
        <c:varyColors val="0"/>
        <c:ser>
          <c:idx val="1"/>
          <c:order val="1"/>
          <c:tx>
            <c:strRef>
              <c:f>GRAFICAS!$C$380</c:f>
              <c:strCache>
                <c:ptCount val="1"/>
                <c:pt idx="0">
                  <c:v>Físico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GRAFICAS!$D$381:$D$382</c:f>
              <c:numCache>
                <c:formatCode>General</c:formatCode>
                <c:ptCount val="2"/>
                <c:pt idx="0">
                  <c:v>0</c:v>
                </c:pt>
                <c:pt idx="1">
                  <c:v>-0.49999999999999989</c:v>
                </c:pt>
              </c:numCache>
            </c:numRef>
          </c:xVal>
          <c:yVal>
            <c:numRef>
              <c:f>GRAFICAS!$E$381:$E$382</c:f>
              <c:numCache>
                <c:formatCode>General</c:formatCode>
                <c:ptCount val="2"/>
                <c:pt idx="0">
                  <c:v>0</c:v>
                </c:pt>
                <c:pt idx="1">
                  <c:v>0.86602540378443871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CD4-4823-909B-EEBC35E21686}"/>
            </c:ext>
          </c:extLst>
        </c:ser>
        <c:ser>
          <c:idx val="2"/>
          <c:order val="2"/>
          <c:tx>
            <c:strRef>
              <c:f>GRAFICAS!$C$384</c:f>
              <c:strCache>
                <c:ptCount val="1"/>
                <c:pt idx="0">
                  <c:v>Financiero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GRAFICAS!$D$385:$D$386</c:f>
              <c:numCache>
                <c:formatCode>General</c:formatCode>
                <c:ptCount val="2"/>
                <c:pt idx="0">
                  <c:v>0</c:v>
                </c:pt>
                <c:pt idx="1">
                  <c:v>-1</c:v>
                </c:pt>
              </c:numCache>
            </c:numRef>
          </c:xVal>
          <c:yVal>
            <c:numRef>
              <c:f>GRAFICAS!$E$385:$E$386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CD4-4823-909B-EEBC35E21686}"/>
            </c:ext>
          </c:extLst>
        </c:ser>
        <c:ser>
          <c:idx val="3"/>
          <c:order val="3"/>
          <c:tx>
            <c:strRef>
              <c:f>GRAFICAS!$C$388</c:f>
              <c:strCache>
                <c:ptCount val="1"/>
                <c:pt idx="0">
                  <c:v>Tiempo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GRAFICAS!$D$389:$D$390</c:f>
              <c:numCache>
                <c:formatCode>General</c:formatCode>
                <c:ptCount val="2"/>
                <c:pt idx="0">
                  <c:v>0</c:v>
                </c:pt>
                <c:pt idx="1">
                  <c:v>0.94860707973144009</c:v>
                </c:pt>
              </c:numCache>
            </c:numRef>
          </c:xVal>
          <c:yVal>
            <c:numRef>
              <c:f>GRAFICAS!$E$389:$E$390</c:f>
              <c:numCache>
                <c:formatCode>General</c:formatCode>
                <c:ptCount val="2"/>
                <c:pt idx="0">
                  <c:v>0</c:v>
                </c:pt>
                <c:pt idx="1">
                  <c:v>0.31645632918838767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CD4-4823-909B-EEBC35E2168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327335760"/>
        <c:axId val="327333280"/>
      </c:scatterChart>
      <c:valAx>
        <c:axId val="327333280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27335760"/>
        <c:crossesAt val="-0.9"/>
        <c:crossBetween val="midCat"/>
      </c:valAx>
      <c:valAx>
        <c:axId val="327335760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327333280"/>
        <c:crossesAt val="0"/>
        <c:crossBetween val="midCat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8765643274854"/>
          <c:y val="0.52066277777777803"/>
          <c:w val="0.40246856725146202"/>
          <c:h val="5.953166666666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 PROYETO</a:t>
            </a:r>
            <a:r>
              <a:rPr lang="es-CO" b="1" baseline="0"/>
              <a:t> 1533 - BUEN TRATO 2019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D8-482D-A18D-55A71444E88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D8-482D-A18D-55A71444E886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D8-482D-A18D-55A71444E886}"/>
              </c:ext>
            </c:extLst>
          </c:dPt>
          <c:dPt>
            <c:idx val="3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D8-482D-A18D-55A71444E886}"/>
              </c:ext>
            </c:extLst>
          </c:dPt>
          <c:dLbls>
            <c:dLbl>
              <c:idx val="0"/>
              <c:layout>
                <c:manualLayout>
                  <c:x val="-9.2836257309941494E-2"/>
                  <c:y val="0.12879027777777799"/>
                </c:manualLayout>
              </c:layout>
              <c:tx>
                <c:rich>
                  <a:bodyPr/>
                  <a:lstStyle/>
                  <a:p>
                    <a:fld id="{96F65D31-DF5E-46C1-AE7B-6A26A55690A8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6D8-482D-A18D-55A71444E886}"/>
                </c:ext>
              </c:extLst>
            </c:dLbl>
            <c:dLbl>
              <c:idx val="1"/>
              <c:layout>
                <c:manualLayout>
                  <c:x val="-0.11511695906432801"/>
                  <c:y val="-9.8777777777777798E-2"/>
                </c:manualLayout>
              </c:layout>
              <c:tx>
                <c:rich>
                  <a:bodyPr/>
                  <a:lstStyle/>
                  <a:p>
                    <a:fld id="{EB79604F-0A76-4662-BF98-7AE0721BECFE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6D8-482D-A18D-55A71444E886}"/>
                </c:ext>
              </c:extLst>
            </c:dLbl>
            <c:dLbl>
              <c:idx val="2"/>
              <c:layout>
                <c:manualLayout>
                  <c:x val="3.8991228070175403E-2"/>
                  <c:y val="-0.148166666666667"/>
                </c:manualLayout>
              </c:layout>
              <c:tx>
                <c:rich>
                  <a:bodyPr/>
                  <a:lstStyle/>
                  <a:p>
                    <a:fld id="{40552D7E-A8C4-4B3A-B7EE-6879BC9FBE8B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6D8-482D-A18D-55A71444E886}"/>
                </c:ext>
              </c:extLst>
            </c:dLbl>
            <c:dLbl>
              <c:idx val="3"/>
              <c:layout>
                <c:manualLayout>
                  <c:x val="0.19309941520467799"/>
                  <c:y val="-0.275166666666667"/>
                </c:manualLayout>
              </c:layout>
              <c:tx>
                <c:rich>
                  <a:bodyPr/>
                  <a:lstStyle/>
                  <a:p>
                    <a:fld id="{E8F83786-DEC0-4CF6-BDFC-FD5B76F238BB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6D8-482D-A18D-55A71444E8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GRAFICAS!$D$202:$D$205</c:f>
              <c:numCache>
                <c:formatCode>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</c:numCache>
            </c:numRef>
          </c:cat>
          <c:val>
            <c:numRef>
              <c:f>GRAFICAS!$E$331:$E$334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0.19999999999999996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D8-482D-A18D-55A71444E8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70"/>
        <c:holeSize val="50"/>
      </c:doughnutChart>
      <c:scatterChart>
        <c:scatterStyle val="smoothMarker"/>
        <c:varyColors val="0"/>
        <c:ser>
          <c:idx val="1"/>
          <c:order val="1"/>
          <c:tx>
            <c:strRef>
              <c:f>GRAFICAS!$C$347</c:f>
              <c:strCache>
                <c:ptCount val="1"/>
                <c:pt idx="0">
                  <c:v>Físico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GRAFICAS!$D$348:$D$349</c:f>
              <c:numCache>
                <c:formatCode>General</c:formatCode>
                <c:ptCount val="2"/>
                <c:pt idx="0">
                  <c:v>0</c:v>
                </c:pt>
                <c:pt idx="1">
                  <c:v>0.53260772457479988</c:v>
                </c:pt>
              </c:numCache>
            </c:numRef>
          </c:xVal>
          <c:yVal>
            <c:numRef>
              <c:f>GRAFICAS!$E$348:$E$349</c:f>
              <c:numCache>
                <c:formatCode>General</c:formatCode>
                <c:ptCount val="2"/>
                <c:pt idx="0">
                  <c:v>0</c:v>
                </c:pt>
                <c:pt idx="1">
                  <c:v>0.84636222252842441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6D8-482D-A18D-55A71444E886}"/>
            </c:ext>
          </c:extLst>
        </c:ser>
        <c:ser>
          <c:idx val="2"/>
          <c:order val="2"/>
          <c:tx>
            <c:strRef>
              <c:f>GRAFICAS!$C$351</c:f>
              <c:strCache>
                <c:ptCount val="1"/>
                <c:pt idx="0">
                  <c:v>Financiero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GRAFICAS!$D$352:$D$353</c:f>
              <c:numCache>
                <c:formatCode>General</c:formatCode>
                <c:ptCount val="2"/>
                <c:pt idx="0">
                  <c:v>0</c:v>
                </c:pt>
                <c:pt idx="1">
                  <c:v>-0.41087781472778784</c:v>
                </c:pt>
              </c:numCache>
            </c:numRef>
          </c:xVal>
          <c:yVal>
            <c:numRef>
              <c:f>GRAFICAS!$E$352:$E$353</c:f>
              <c:numCache>
                <c:formatCode>General</c:formatCode>
                <c:ptCount val="2"/>
                <c:pt idx="0">
                  <c:v>0</c:v>
                </c:pt>
                <c:pt idx="1">
                  <c:v>0.91169041969547848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86D8-482D-A18D-55A71444E886}"/>
            </c:ext>
          </c:extLst>
        </c:ser>
        <c:ser>
          <c:idx val="3"/>
          <c:order val="3"/>
          <c:tx>
            <c:strRef>
              <c:f>GRAFICAS!$C$355</c:f>
              <c:strCache>
                <c:ptCount val="1"/>
                <c:pt idx="0">
                  <c:v>Tiempo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GRAFICAS!$D$356:$D$357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GRAFICAS!$E$356:$E$357</c:f>
              <c:numCache>
                <c:formatCode>General</c:formatCode>
                <c:ptCount val="2"/>
                <c:pt idx="0">
                  <c:v>0</c:v>
                </c:pt>
                <c:pt idx="1">
                  <c:v>1.22514845490862E-16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86D8-482D-A18D-55A71444E88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327278976"/>
        <c:axId val="327276496"/>
      </c:scatterChart>
      <c:valAx>
        <c:axId val="32727649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27278976"/>
        <c:crossesAt val="-0.9"/>
        <c:crossBetween val="midCat"/>
      </c:valAx>
      <c:valAx>
        <c:axId val="327278976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327276496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8765643274854"/>
          <c:y val="0.52771833333333396"/>
          <c:w val="0.40246856725146202"/>
          <c:h val="5.953166666666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 PROYECTO 1558 - PARQUES 2017-2019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59A-482C-A3BE-0938BE76466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9A-482C-A3BE-0938BE76466C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59A-482C-A3BE-0938BE76466C}"/>
              </c:ext>
            </c:extLst>
          </c:dPt>
          <c:dPt>
            <c:idx val="3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9A-482C-A3BE-0938BE76466C}"/>
              </c:ext>
            </c:extLst>
          </c:dPt>
          <c:dLbls>
            <c:dLbl>
              <c:idx val="0"/>
              <c:layout>
                <c:manualLayout>
                  <c:x val="-9.0979532163742702E-2"/>
                  <c:y val="0.13405555555555501"/>
                </c:manualLayout>
              </c:layout>
              <c:tx>
                <c:rich>
                  <a:bodyPr/>
                  <a:lstStyle/>
                  <a:p>
                    <a:fld id="{C794D263-6EBC-4F35-95FD-5CD85EBE8CB2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59A-482C-A3BE-0938BE76466C}"/>
                </c:ext>
              </c:extLst>
            </c:dLbl>
            <c:dLbl>
              <c:idx val="1"/>
              <c:layout>
                <c:manualLayout>
                  <c:x val="-0.12625730994152001"/>
                  <c:y val="-0.10936111111111101"/>
                </c:manualLayout>
              </c:layout>
              <c:tx>
                <c:rich>
                  <a:bodyPr/>
                  <a:lstStyle/>
                  <a:p>
                    <a:fld id="{7E25843E-4454-4FDC-B7F8-F7191A58F499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59A-482C-A3BE-0938BE76466C}"/>
                </c:ext>
              </c:extLst>
            </c:dLbl>
            <c:dLbl>
              <c:idx val="2"/>
              <c:layout>
                <c:manualLayout>
                  <c:x val="3.8991228070175403E-2"/>
                  <c:y val="-0.148166666666667"/>
                </c:manualLayout>
              </c:layout>
              <c:tx>
                <c:rich>
                  <a:bodyPr/>
                  <a:lstStyle/>
                  <a:p>
                    <a:fld id="{6096351B-4CA1-4776-B99A-02362C96ED0F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59A-482C-A3BE-0938BE76466C}"/>
                </c:ext>
              </c:extLst>
            </c:dLbl>
            <c:dLbl>
              <c:idx val="3"/>
              <c:layout>
                <c:manualLayout>
                  <c:x val="0.211666666666667"/>
                  <c:y val="-0.296333333333333"/>
                </c:manualLayout>
              </c:layout>
              <c:tx>
                <c:rich>
                  <a:bodyPr/>
                  <a:lstStyle/>
                  <a:p>
                    <a:fld id="{34D383BB-37FB-48B1-9257-4D2EE6AA46B8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59A-482C-A3BE-0938BE7646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GRAFICAS!$D$74:$D$77</c:f>
              <c:numCache>
                <c:formatCode>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</c:numCache>
            </c:numRef>
          </c:cat>
          <c:val>
            <c:numRef>
              <c:f>GRAFICAS!$E$74:$E$77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0.19999999999999996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A-482C-A3BE-0938BE7646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70"/>
        <c:holeSize val="50"/>
      </c:doughnutChart>
      <c:scatterChart>
        <c:scatterStyle val="smoothMarker"/>
        <c:varyColors val="0"/>
        <c:ser>
          <c:idx val="1"/>
          <c:order val="1"/>
          <c:tx>
            <c:strRef>
              <c:f>GRAFICAS!$C$90</c:f>
              <c:strCache>
                <c:ptCount val="1"/>
                <c:pt idx="0">
                  <c:v>Físico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GRAFICAS!$D$91:$D$92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GRAFICAS!$E$91:$E$92</c:f>
              <c:numCache>
                <c:formatCode>General</c:formatCode>
                <c:ptCount val="2"/>
                <c:pt idx="0">
                  <c:v>0</c:v>
                </c:pt>
                <c:pt idx="1">
                  <c:v>1.22514845490862E-16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59A-482C-A3BE-0938BE76466C}"/>
            </c:ext>
          </c:extLst>
        </c:ser>
        <c:ser>
          <c:idx val="2"/>
          <c:order val="2"/>
          <c:tx>
            <c:strRef>
              <c:f>GRAFICAS!$C$94</c:f>
              <c:strCache>
                <c:ptCount val="1"/>
                <c:pt idx="0">
                  <c:v>Financiero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GRAFICAS!$D$95:$D$96</c:f>
              <c:numCache>
                <c:formatCode>General</c:formatCode>
                <c:ptCount val="2"/>
                <c:pt idx="0">
                  <c:v>0</c:v>
                </c:pt>
                <c:pt idx="1">
                  <c:v>0.95006640926182895</c:v>
                </c:pt>
              </c:numCache>
            </c:numRef>
          </c:xVal>
          <c:yVal>
            <c:numRef>
              <c:f>GRAFICAS!$E$95:$E$96</c:f>
              <c:numCache>
                <c:formatCode>General</c:formatCode>
                <c:ptCount val="2"/>
                <c:pt idx="0">
                  <c:v>0</c:v>
                </c:pt>
                <c:pt idx="1">
                  <c:v>0.31204778158534457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59A-482C-A3BE-0938BE76466C}"/>
            </c:ext>
          </c:extLst>
        </c:ser>
        <c:ser>
          <c:idx val="3"/>
          <c:order val="3"/>
          <c:tx>
            <c:strRef>
              <c:f>GRAFICAS!$C$98</c:f>
              <c:strCache>
                <c:ptCount val="1"/>
                <c:pt idx="0">
                  <c:v>Tiempo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GRAFICAS!$D$99:$D$100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GRAFICAS!$E$99:$E$100</c:f>
              <c:numCache>
                <c:formatCode>General</c:formatCode>
                <c:ptCount val="2"/>
                <c:pt idx="0">
                  <c:v>0</c:v>
                </c:pt>
                <c:pt idx="1">
                  <c:v>1.22514845490862E-16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59A-482C-A3BE-0938BE76466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310000048"/>
        <c:axId val="309997568"/>
      </c:scatterChart>
      <c:valAx>
        <c:axId val="30999756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10000048"/>
        <c:crossesAt val="-0.9"/>
        <c:crossBetween val="midCat"/>
      </c:valAx>
      <c:valAx>
        <c:axId val="310000048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309997568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3195467836257"/>
          <c:y val="0.52771833333333396"/>
          <c:w val="0.40246856725146202"/>
          <c:h val="5.953166666666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 PROYECTO</a:t>
            </a:r>
            <a:r>
              <a:rPr lang="es-CO" b="1" baseline="0"/>
              <a:t> 0791 - DEPORTES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385-464A-A6FA-FB3AD5B4286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85-464A-A6FA-FB3AD5B42864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385-464A-A6FA-FB3AD5B42864}"/>
              </c:ext>
            </c:extLst>
          </c:dPt>
          <c:dPt>
            <c:idx val="3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85-464A-A6FA-FB3AD5B42864}"/>
              </c:ext>
            </c:extLst>
          </c:dPt>
          <c:dLbls>
            <c:dLbl>
              <c:idx val="0"/>
              <c:layout>
                <c:manualLayout>
                  <c:x val="-9.2836257309941494E-2"/>
                  <c:y val="0.12879027777777799"/>
                </c:manualLayout>
              </c:layout>
              <c:tx>
                <c:rich>
                  <a:bodyPr/>
                  <a:lstStyle/>
                  <a:p>
                    <a:fld id="{5DFD819D-E2CF-435F-A151-841F9CDF91DF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385-464A-A6FA-FB3AD5B42864}"/>
                </c:ext>
              </c:extLst>
            </c:dLbl>
            <c:dLbl>
              <c:idx val="1"/>
              <c:layout>
                <c:manualLayout>
                  <c:x val="-0.11697368421052599"/>
                  <c:y val="-0.105833333333333"/>
                </c:manualLayout>
              </c:layout>
              <c:tx>
                <c:rich>
                  <a:bodyPr/>
                  <a:lstStyle/>
                  <a:p>
                    <a:fld id="{A9642119-EC8B-44D6-893B-D5B780231F19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385-464A-A6FA-FB3AD5B42864}"/>
                </c:ext>
              </c:extLst>
            </c:dLbl>
            <c:dLbl>
              <c:idx val="2"/>
              <c:layout>
                <c:manualLayout>
                  <c:x val="3.8991228070175403E-2"/>
                  <c:y val="-0.148166666666667"/>
                </c:manualLayout>
              </c:layout>
              <c:tx>
                <c:rich>
                  <a:bodyPr/>
                  <a:lstStyle/>
                  <a:p>
                    <a:fld id="{D404748D-5D83-46EA-B1A8-13DFB3E43E17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385-464A-A6FA-FB3AD5B42864}"/>
                </c:ext>
              </c:extLst>
            </c:dLbl>
            <c:dLbl>
              <c:idx val="3"/>
              <c:layout>
                <c:manualLayout>
                  <c:x val="0.19309941520467799"/>
                  <c:y val="-0.275166666666667"/>
                </c:manualLayout>
              </c:layout>
              <c:tx>
                <c:rich>
                  <a:bodyPr/>
                  <a:lstStyle/>
                  <a:p>
                    <a:fld id="{1B05BCAB-C7C7-4CDF-A81A-D0B22E715223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385-464A-A6FA-FB3AD5B428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GRAFICAS!$D$106:$D$109</c:f>
              <c:numCache>
                <c:formatCode>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</c:numCache>
            </c:numRef>
          </c:cat>
          <c:val>
            <c:numRef>
              <c:f>GRAFICAS!$E$106:$E$109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0.19999999999999996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5-464A-A6FA-FB3AD5B428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70"/>
        <c:holeSize val="50"/>
      </c:doughnutChart>
      <c:scatterChart>
        <c:scatterStyle val="smoothMarker"/>
        <c:varyColors val="0"/>
        <c:ser>
          <c:idx val="1"/>
          <c:order val="1"/>
          <c:tx>
            <c:strRef>
              <c:f>GRAFICAS!$C$122</c:f>
              <c:strCache>
                <c:ptCount val="1"/>
                <c:pt idx="0">
                  <c:v>Físico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  <a:headEnd type="none"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GRAFICAS!$D$123:$D$124</c:f>
              <c:numCache>
                <c:formatCode>General</c:formatCode>
                <c:ptCount val="2"/>
                <c:pt idx="0">
                  <c:v>0</c:v>
                </c:pt>
                <c:pt idx="1">
                  <c:v>0.16326851459448291</c:v>
                </c:pt>
              </c:numCache>
            </c:numRef>
          </c:xVal>
          <c:yVal>
            <c:numRef>
              <c:f>GRAFICAS!$E$123:$E$124</c:f>
              <c:numCache>
                <c:formatCode>General</c:formatCode>
                <c:ptCount val="2"/>
                <c:pt idx="0">
                  <c:v>0</c:v>
                </c:pt>
                <c:pt idx="1">
                  <c:v>0.98658167028488375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385-464A-A6FA-FB3AD5B42864}"/>
            </c:ext>
          </c:extLst>
        </c:ser>
        <c:ser>
          <c:idx val="2"/>
          <c:order val="2"/>
          <c:tx>
            <c:strRef>
              <c:f>GRAFICAS!$C$126</c:f>
              <c:strCache>
                <c:ptCount val="1"/>
                <c:pt idx="0">
                  <c:v>Financiero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GRAFICAS!$D$127:$D$128</c:f>
              <c:numCache>
                <c:formatCode>General</c:formatCode>
                <c:ptCount val="2"/>
                <c:pt idx="0">
                  <c:v>0</c:v>
                </c:pt>
                <c:pt idx="1">
                  <c:v>2.1484099279068913E-2</c:v>
                </c:pt>
              </c:numCache>
            </c:numRef>
          </c:xVal>
          <c:yVal>
            <c:numRef>
              <c:f>GRAFICAS!$E$127:$E$128</c:f>
              <c:numCache>
                <c:formatCode>General</c:formatCode>
                <c:ptCount val="2"/>
                <c:pt idx="0">
                  <c:v>0</c:v>
                </c:pt>
                <c:pt idx="1">
                  <c:v>0.99976919010247911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385-464A-A6FA-FB3AD5B42864}"/>
            </c:ext>
          </c:extLst>
        </c:ser>
        <c:ser>
          <c:idx val="3"/>
          <c:order val="3"/>
          <c:tx>
            <c:strRef>
              <c:f>GRAFICAS!$C$130</c:f>
              <c:strCache>
                <c:ptCount val="1"/>
                <c:pt idx="0">
                  <c:v>Tiempo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DotDot"/>
              <a:round/>
              <a:tailEnd type="non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GRAFICAS!$D$131:$D$132</c:f>
              <c:numCache>
                <c:formatCode>General</c:formatCode>
                <c:ptCount val="2"/>
                <c:pt idx="0">
                  <c:v>0</c:v>
                </c:pt>
                <c:pt idx="1">
                  <c:v>0.98010742941400464</c:v>
                </c:pt>
              </c:numCache>
            </c:numRef>
          </c:xVal>
          <c:yVal>
            <c:numRef>
              <c:f>GRAFICAS!$E$131:$E$132</c:f>
              <c:numCache>
                <c:formatCode>General</c:formatCode>
                <c:ptCount val="2"/>
                <c:pt idx="0">
                  <c:v>0</c:v>
                </c:pt>
                <c:pt idx="1">
                  <c:v>0.19846769713853152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385-464A-A6FA-FB3AD5B42864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310056256"/>
        <c:axId val="310053776"/>
      </c:scatterChart>
      <c:valAx>
        <c:axId val="31005377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10056256"/>
        <c:crossesAt val="-0.9"/>
        <c:crossBetween val="midCat"/>
      </c:valAx>
      <c:valAx>
        <c:axId val="310056256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310053776"/>
        <c:crossesAt val="-1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8765643274854"/>
          <c:y val="0.52419055555555605"/>
          <c:w val="0.40246856725146202"/>
          <c:h val="5.953166666666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</a:t>
            </a:r>
            <a:r>
              <a:rPr lang="es-CO" b="1" baseline="0"/>
              <a:t> PROYECTO 0791 - CULTURA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FFC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9A0-4201-B5B1-AEACC3F52077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9A0-4201-B5B1-AEACC3F52077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9A0-4201-B5B1-AEACC3F52077}"/>
              </c:ext>
            </c:extLst>
          </c:dPt>
          <c:dPt>
            <c:idx val="3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9A0-4201-B5B1-AEACC3F52077}"/>
              </c:ext>
            </c:extLst>
          </c:dPt>
          <c:dLbls>
            <c:dLbl>
              <c:idx val="0"/>
              <c:layout>
                <c:manualLayout>
                  <c:x val="-8.9122807017543895E-2"/>
                  <c:y val="0.13052777777777799"/>
                </c:manualLayout>
              </c:layout>
              <c:tx>
                <c:rich>
                  <a:bodyPr/>
                  <a:lstStyle/>
                  <a:p>
                    <a:fld id="{01B38567-6F8F-4C3E-AAC5-BEB526428D1D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9A0-4201-B5B1-AEACC3F52077}"/>
                </c:ext>
              </c:extLst>
            </c:dLbl>
            <c:dLbl>
              <c:idx val="1"/>
              <c:layout>
                <c:manualLayout>
                  <c:x val="-0.124400584795322"/>
                  <c:y val="-0.105833333333333"/>
                </c:manualLayout>
              </c:layout>
              <c:tx>
                <c:rich>
                  <a:bodyPr/>
                  <a:lstStyle/>
                  <a:p>
                    <a:fld id="{973928D5-6411-4F76-9D0B-81225216148C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9A0-4201-B5B1-AEACC3F52077}"/>
                </c:ext>
              </c:extLst>
            </c:dLbl>
            <c:dLbl>
              <c:idx val="2"/>
              <c:layout>
                <c:manualLayout>
                  <c:x val="3.7134502923976603E-2"/>
                  <c:y val="-0.148166666666667"/>
                </c:manualLayout>
              </c:layout>
              <c:tx>
                <c:rich>
                  <a:bodyPr/>
                  <a:lstStyle/>
                  <a:p>
                    <a:fld id="{20F7435D-74BA-40CC-8928-D527DF77251C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9A0-4201-B5B1-AEACC3F52077}"/>
                </c:ext>
              </c:extLst>
            </c:dLbl>
            <c:dLbl>
              <c:idx val="3"/>
              <c:layout>
                <c:manualLayout>
                  <c:x val="0.211666666666667"/>
                  <c:y val="-0.296333333333333"/>
                </c:manualLayout>
              </c:layout>
              <c:tx>
                <c:rich>
                  <a:bodyPr/>
                  <a:lstStyle/>
                  <a:p>
                    <a:fld id="{EF1FA0DD-ED9A-496A-8DA1-B417DE8724BB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A0-4201-B5B1-AEACC3F52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GRAFICAS!$D$74:$D$77</c:f>
              <c:numCache>
                <c:formatCode>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</c:numCache>
            </c:numRef>
          </c:cat>
          <c:val>
            <c:numRef>
              <c:f>GRAFICAS!$E$138:$E$141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0.19999999999999996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0-4201-B5B1-AEACC3F520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70"/>
        <c:holeSize val="50"/>
      </c:doughnutChart>
      <c:scatterChart>
        <c:scatterStyle val="smoothMarker"/>
        <c:varyColors val="0"/>
        <c:ser>
          <c:idx val="1"/>
          <c:order val="1"/>
          <c:tx>
            <c:strRef>
              <c:f>GRAFICAS!$C$154</c:f>
              <c:strCache>
                <c:ptCount val="1"/>
                <c:pt idx="0">
                  <c:v>Físico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GRAFICAS!$D$155:$D$156</c:f>
              <c:numCache>
                <c:formatCode>General</c:formatCode>
                <c:ptCount val="2"/>
                <c:pt idx="0">
                  <c:v>0</c:v>
                </c:pt>
                <c:pt idx="1">
                  <c:v>0.88073373102832619</c:v>
                </c:pt>
              </c:numCache>
            </c:numRef>
          </c:xVal>
          <c:yVal>
            <c:numRef>
              <c:f>GRAFICAS!$E$155:$E$156</c:f>
              <c:numCache>
                <c:formatCode>General</c:formatCode>
                <c:ptCount val="2"/>
                <c:pt idx="0">
                  <c:v>0</c:v>
                </c:pt>
                <c:pt idx="1">
                  <c:v>0.47361175558565272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9A0-4201-B5B1-AEACC3F52077}"/>
            </c:ext>
          </c:extLst>
        </c:ser>
        <c:ser>
          <c:idx val="2"/>
          <c:order val="2"/>
          <c:tx>
            <c:strRef>
              <c:f>GRAFICAS!$C$158</c:f>
              <c:strCache>
                <c:ptCount val="1"/>
                <c:pt idx="0">
                  <c:v>Financiero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GRAFICAS!$D$159:$D$160</c:f>
              <c:numCache>
                <c:formatCode>General</c:formatCode>
                <c:ptCount val="2"/>
                <c:pt idx="0">
                  <c:v>0</c:v>
                </c:pt>
                <c:pt idx="1">
                  <c:v>0.6509779921705362</c:v>
                </c:pt>
              </c:numCache>
            </c:numRef>
          </c:xVal>
          <c:yVal>
            <c:numRef>
              <c:f>GRAFICAS!$E$159:$E$160</c:f>
              <c:numCache>
                <c:formatCode>General</c:formatCode>
                <c:ptCount val="2"/>
                <c:pt idx="0">
                  <c:v>0</c:v>
                </c:pt>
                <c:pt idx="1">
                  <c:v>0.75909660367414189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9A0-4201-B5B1-AEACC3F52077}"/>
            </c:ext>
          </c:extLst>
        </c:ser>
        <c:ser>
          <c:idx val="3"/>
          <c:order val="3"/>
          <c:tx>
            <c:strRef>
              <c:f>GRAFICAS!$C$162</c:f>
              <c:strCache>
                <c:ptCount val="1"/>
                <c:pt idx="0">
                  <c:v>Tiempo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strRef>
              <c:f>GRAFICAS!$D$163:$D$164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GRAFICAS!$E$163:$E$164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9A0-4201-B5B1-AEACC3F5207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310112672"/>
        <c:axId val="310110192"/>
      </c:scatterChart>
      <c:valAx>
        <c:axId val="310110192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10112672"/>
        <c:crossesAt val="-0.9"/>
        <c:crossBetween val="midCat"/>
      </c:valAx>
      <c:valAx>
        <c:axId val="31011267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310110192"/>
        <c:crossesAt val="-1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02479093567252"/>
          <c:y val="0.54535722222222205"/>
          <c:w val="0.40246856725146202"/>
          <c:h val="5.953166666666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</a:t>
            </a:r>
            <a:r>
              <a:rPr lang="es-CO" b="1" baseline="0"/>
              <a:t> PROYETO 1561 - MALLA VIAL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B41-4860-BC78-7D1A5030993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B41-4860-BC78-7D1A50309934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41-4860-BC78-7D1A50309934}"/>
              </c:ext>
            </c:extLst>
          </c:dPt>
          <c:dPt>
            <c:idx val="3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41-4860-BC78-7D1A50309934}"/>
              </c:ext>
            </c:extLst>
          </c:dPt>
          <c:dLbls>
            <c:dLbl>
              <c:idx val="0"/>
              <c:layout>
                <c:manualLayout>
                  <c:x val="-9.0979532163742702E-2"/>
                  <c:y val="0.107623611111111"/>
                </c:manualLayout>
              </c:layout>
              <c:tx>
                <c:rich>
                  <a:bodyPr/>
                  <a:lstStyle/>
                  <a:p>
                    <a:fld id="{2CC63321-2F45-44FE-8723-03B772426DB8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B41-4860-BC78-7D1A50309934}"/>
                </c:ext>
              </c:extLst>
            </c:dLbl>
            <c:dLbl>
              <c:idx val="1"/>
              <c:layout>
                <c:manualLayout>
                  <c:x val="-0.11697368421052599"/>
                  <c:y val="-9.8777777777777798E-2"/>
                </c:manualLayout>
              </c:layout>
              <c:tx>
                <c:rich>
                  <a:bodyPr/>
                  <a:lstStyle/>
                  <a:p>
                    <a:fld id="{F211FF88-6997-4A3C-B0B0-DA3ED631FC5A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B41-4860-BC78-7D1A50309934}"/>
                </c:ext>
              </c:extLst>
            </c:dLbl>
            <c:dLbl>
              <c:idx val="2"/>
              <c:layout>
                <c:manualLayout>
                  <c:x val="3.8991228070175403E-2"/>
                  <c:y val="-0.148166666666667"/>
                </c:manualLayout>
              </c:layout>
              <c:tx>
                <c:rich>
                  <a:bodyPr/>
                  <a:lstStyle/>
                  <a:p>
                    <a:fld id="{F9DB2941-19D5-4B0A-96CF-F44A520336FA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B41-4860-BC78-7D1A50309934}"/>
                </c:ext>
              </c:extLst>
            </c:dLbl>
            <c:dLbl>
              <c:idx val="3"/>
              <c:layout>
                <c:manualLayout>
                  <c:x val="0.19681286549707599"/>
                  <c:y val="-0.27163888888888899"/>
                </c:manualLayout>
              </c:layout>
              <c:tx>
                <c:rich>
                  <a:bodyPr/>
                  <a:lstStyle/>
                  <a:p>
                    <a:fld id="{418FCE39-6F79-4403-AD0D-53E1B0C6467B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B41-4860-BC78-7D1A503099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GRAFICAS!$D$170:$D$173</c:f>
              <c:numCache>
                <c:formatCode>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</c:numCache>
            </c:numRef>
          </c:cat>
          <c:val>
            <c:numRef>
              <c:f>GRAFICAS!$E$170:$E$173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0.19999999999999996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1-4860-BC78-7D1A5030993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70"/>
        <c:holeSize val="50"/>
      </c:doughnutChart>
      <c:scatterChart>
        <c:scatterStyle val="smoothMarker"/>
        <c:varyColors val="0"/>
        <c:ser>
          <c:idx val="1"/>
          <c:order val="1"/>
          <c:tx>
            <c:strRef>
              <c:f>GRAFICAS!$C$186</c:f>
              <c:strCache>
                <c:ptCount val="1"/>
                <c:pt idx="0">
                  <c:v>Físico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GRAFICAS!$D$187:$D$188</c:f>
              <c:numCache>
                <c:formatCode>General</c:formatCode>
                <c:ptCount val="2"/>
                <c:pt idx="0">
                  <c:v>0</c:v>
                </c:pt>
                <c:pt idx="1">
                  <c:v>-0.32700722481742972</c:v>
                </c:pt>
              </c:numCache>
            </c:numRef>
          </c:xVal>
          <c:yVal>
            <c:numRef>
              <c:f>GRAFICAS!$E$187:$E$188</c:f>
              <c:numCache>
                <c:formatCode>General</c:formatCode>
                <c:ptCount val="2"/>
                <c:pt idx="0">
                  <c:v>0</c:v>
                </c:pt>
                <c:pt idx="1">
                  <c:v>0.94502183832819597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B41-4860-BC78-7D1A50309934}"/>
            </c:ext>
          </c:extLst>
        </c:ser>
        <c:ser>
          <c:idx val="2"/>
          <c:order val="2"/>
          <c:tx>
            <c:strRef>
              <c:f>GRAFICAS!$C$190</c:f>
              <c:strCache>
                <c:ptCount val="1"/>
                <c:pt idx="0">
                  <c:v>Financiero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GRAFICAS!$D$191:$D$192</c:f>
              <c:numCache>
                <c:formatCode>General</c:formatCode>
                <c:ptCount val="2"/>
                <c:pt idx="0">
                  <c:v>0</c:v>
                </c:pt>
                <c:pt idx="1">
                  <c:v>0.81648490830345144</c:v>
                </c:pt>
              </c:numCache>
            </c:numRef>
          </c:xVal>
          <c:yVal>
            <c:numRef>
              <c:f>GRAFICAS!$E$191:$E$192</c:f>
              <c:numCache>
                <c:formatCode>General</c:formatCode>
                <c:ptCount val="2"/>
                <c:pt idx="0">
                  <c:v>0</c:v>
                </c:pt>
                <c:pt idx="1">
                  <c:v>0.5773667764192052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B41-4860-BC78-7D1A50309934}"/>
            </c:ext>
          </c:extLst>
        </c:ser>
        <c:ser>
          <c:idx val="3"/>
          <c:order val="3"/>
          <c:tx>
            <c:strRef>
              <c:f>GRAFICAS!$C$194</c:f>
              <c:strCache>
                <c:ptCount val="1"/>
                <c:pt idx="0">
                  <c:v>Tiempo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DotDot"/>
              <a:round/>
              <a:tailEnd type="non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GRAFICAS!$D$195:$D$196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GRAFICAS!$E$195:$E$196</c:f>
              <c:numCache>
                <c:formatCode>General</c:formatCode>
                <c:ptCount val="2"/>
                <c:pt idx="0">
                  <c:v>0</c:v>
                </c:pt>
                <c:pt idx="1">
                  <c:v>1.22514845490862E-16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B41-4860-BC78-7D1A50309934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310165648"/>
        <c:axId val="310163168"/>
      </c:scatterChart>
      <c:valAx>
        <c:axId val="31016316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10165648"/>
        <c:crossesAt val="-0.9"/>
        <c:crossBetween val="midCat"/>
      </c:valAx>
      <c:valAx>
        <c:axId val="310165648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310163168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00622368421053"/>
          <c:y val="0.52419055555555605"/>
          <c:w val="0.40246856725146202"/>
          <c:h val="5.953166666666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 PROYETO</a:t>
            </a:r>
            <a:r>
              <a:rPr lang="es-CO" b="1" baseline="0"/>
              <a:t> 1533 - BUEN TRATO 2018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876-490C-BF30-34B151140F15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876-490C-BF30-34B151140F15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876-490C-BF30-34B151140F15}"/>
              </c:ext>
            </c:extLst>
          </c:dPt>
          <c:dPt>
            <c:idx val="3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876-490C-BF30-34B151140F15}"/>
              </c:ext>
            </c:extLst>
          </c:dPt>
          <c:dLbls>
            <c:dLbl>
              <c:idx val="0"/>
              <c:layout>
                <c:manualLayout>
                  <c:x val="-9.2836257309941494E-2"/>
                  <c:y val="0.12879027777777799"/>
                </c:manualLayout>
              </c:layout>
              <c:tx>
                <c:rich>
                  <a:bodyPr/>
                  <a:lstStyle/>
                  <a:p>
                    <a:fld id="{96F65D31-DF5E-46C1-AE7B-6A26A55690A8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876-490C-BF30-34B151140F15}"/>
                </c:ext>
              </c:extLst>
            </c:dLbl>
            <c:dLbl>
              <c:idx val="1"/>
              <c:layout>
                <c:manualLayout>
                  <c:x val="-0.11511695906432801"/>
                  <c:y val="-9.8777777777777798E-2"/>
                </c:manualLayout>
              </c:layout>
              <c:tx>
                <c:rich>
                  <a:bodyPr/>
                  <a:lstStyle/>
                  <a:p>
                    <a:fld id="{EB79604F-0A76-4662-BF98-7AE0721BECFE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876-490C-BF30-34B151140F15}"/>
                </c:ext>
              </c:extLst>
            </c:dLbl>
            <c:dLbl>
              <c:idx val="2"/>
              <c:layout>
                <c:manualLayout>
                  <c:x val="3.8991228070175403E-2"/>
                  <c:y val="-0.148166666666667"/>
                </c:manualLayout>
              </c:layout>
              <c:tx>
                <c:rich>
                  <a:bodyPr/>
                  <a:lstStyle/>
                  <a:p>
                    <a:fld id="{40552D7E-A8C4-4B3A-B7EE-6879BC9FBE8B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876-490C-BF30-34B151140F15}"/>
                </c:ext>
              </c:extLst>
            </c:dLbl>
            <c:dLbl>
              <c:idx val="3"/>
              <c:layout>
                <c:manualLayout>
                  <c:x val="0.19309941520467799"/>
                  <c:y val="-0.275166666666667"/>
                </c:manualLayout>
              </c:layout>
              <c:tx>
                <c:rich>
                  <a:bodyPr/>
                  <a:lstStyle/>
                  <a:p>
                    <a:fld id="{E8F83786-DEC0-4CF6-BDFC-FD5B76F238BB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876-490C-BF30-34B151140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GRAFICAS!$D$202:$D$205</c:f>
              <c:numCache>
                <c:formatCode>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</c:numCache>
            </c:numRef>
          </c:cat>
          <c:val>
            <c:numRef>
              <c:f>GRAFICAS!$E$202:$E$205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0.19999999999999996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6-490C-BF30-34B151140F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70"/>
        <c:holeSize val="50"/>
      </c:doughnutChart>
      <c:scatterChart>
        <c:scatterStyle val="smoothMarker"/>
        <c:varyColors val="0"/>
        <c:ser>
          <c:idx val="1"/>
          <c:order val="1"/>
          <c:tx>
            <c:strRef>
              <c:f>GRAFICAS!$C$218</c:f>
              <c:strCache>
                <c:ptCount val="1"/>
                <c:pt idx="0">
                  <c:v>Físico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GRAFICAS!$D$219:$D$220</c:f>
              <c:numCache>
                <c:formatCode>General</c:formatCode>
                <c:ptCount val="2"/>
                <c:pt idx="0">
                  <c:v>0</c:v>
                </c:pt>
                <c:pt idx="1">
                  <c:v>0.64811990106313078</c:v>
                </c:pt>
              </c:numCache>
            </c:numRef>
          </c:xVal>
          <c:yVal>
            <c:numRef>
              <c:f>GRAFICAS!$E$219:$E$220</c:f>
              <c:numCache>
                <c:formatCode>General</c:formatCode>
                <c:ptCount val="2"/>
                <c:pt idx="0">
                  <c:v>0</c:v>
                </c:pt>
                <c:pt idx="1">
                  <c:v>-0.7615383075367369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876-490C-BF30-34B151140F15}"/>
            </c:ext>
          </c:extLst>
        </c:ser>
        <c:ser>
          <c:idx val="2"/>
          <c:order val="2"/>
          <c:tx>
            <c:strRef>
              <c:f>GRAFICAS!$C$222</c:f>
              <c:strCache>
                <c:ptCount val="1"/>
                <c:pt idx="0">
                  <c:v>Financiero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GRAFICAS!$D$223:$D$224</c:f>
              <c:numCache>
                <c:formatCode>General</c:formatCode>
                <c:ptCount val="2"/>
                <c:pt idx="0">
                  <c:v>0</c:v>
                </c:pt>
                <c:pt idx="1">
                  <c:v>0.9869242677917085</c:v>
                </c:pt>
              </c:numCache>
            </c:numRef>
          </c:xVal>
          <c:yVal>
            <c:numRef>
              <c:f>GRAFICAS!$E$223:$E$224</c:f>
              <c:numCache>
                <c:formatCode>General</c:formatCode>
                <c:ptCount val="2"/>
                <c:pt idx="0">
                  <c:v>0</c:v>
                </c:pt>
                <c:pt idx="1">
                  <c:v>0.1611846445657901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876-490C-BF30-34B151140F15}"/>
            </c:ext>
          </c:extLst>
        </c:ser>
        <c:ser>
          <c:idx val="3"/>
          <c:order val="3"/>
          <c:tx>
            <c:strRef>
              <c:f>GRAFICAS!$C$226</c:f>
              <c:strCache>
                <c:ptCount val="1"/>
                <c:pt idx="0">
                  <c:v>Tiempo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GRAFICAS!$D$227:$D$228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GRAFICAS!$E$227:$E$228</c:f>
              <c:numCache>
                <c:formatCode>General</c:formatCode>
                <c:ptCount val="2"/>
                <c:pt idx="0">
                  <c:v>0</c:v>
                </c:pt>
                <c:pt idx="1">
                  <c:v>1.22514845490862E-16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876-490C-BF30-34B151140F15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310219296"/>
        <c:axId val="310216816"/>
      </c:scatterChart>
      <c:valAx>
        <c:axId val="310216816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10219296"/>
        <c:crossesAt val="-0.9"/>
        <c:crossBetween val="midCat"/>
      </c:valAx>
      <c:valAx>
        <c:axId val="310219296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310216816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8765643274854"/>
          <c:y val="0.52771833333333396"/>
          <c:w val="0.40246856725146202"/>
          <c:h val="5.953166666666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 PROYECTO</a:t>
            </a:r>
            <a:r>
              <a:rPr lang="es-CO" b="1" baseline="0"/>
              <a:t> 1562 - PARTICIPACIÓN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AE9-4952-8E9C-368A3C6E6325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E9-4952-8E9C-368A3C6E6325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AE9-4952-8E9C-368A3C6E6325}"/>
              </c:ext>
            </c:extLst>
          </c:dPt>
          <c:dPt>
            <c:idx val="3"/>
            <c:bubble3D val="0"/>
            <c:spPr>
              <a:noFill/>
              <a:ln w="12700" cap="flat" cmpd="sng" algn="ctr">
                <a:noFill/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E9-4952-8E9C-368A3C6E6325}"/>
              </c:ext>
            </c:extLst>
          </c:dPt>
          <c:dLbls>
            <c:dLbl>
              <c:idx val="0"/>
              <c:layout>
                <c:manualLayout>
                  <c:x val="-9.0979532163742702E-2"/>
                  <c:y val="0.127"/>
                </c:manualLayout>
              </c:layout>
              <c:tx>
                <c:rich>
                  <a:bodyPr/>
                  <a:lstStyle/>
                  <a:p>
                    <a:fld id="{274678DA-096D-4C94-A973-1A37ED2763F9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AE9-4952-8E9C-368A3C6E6325}"/>
                </c:ext>
              </c:extLst>
            </c:dLbl>
            <c:dLbl>
              <c:idx val="1"/>
              <c:layout>
                <c:manualLayout>
                  <c:x val="-0.11883040935672499"/>
                  <c:y val="-0.102305555555556"/>
                </c:manualLayout>
              </c:layout>
              <c:tx>
                <c:rich>
                  <a:bodyPr/>
                  <a:lstStyle/>
                  <a:p>
                    <a:fld id="{2FCF188E-1498-411C-8192-A5B9375404C9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AE9-4952-8E9C-368A3C6E6325}"/>
                </c:ext>
              </c:extLst>
            </c:dLbl>
            <c:dLbl>
              <c:idx val="2"/>
              <c:layout>
                <c:manualLayout>
                  <c:x val="3.8991228070175403E-2"/>
                  <c:y val="-0.14463888888888901"/>
                </c:manualLayout>
              </c:layout>
              <c:tx>
                <c:rich>
                  <a:bodyPr/>
                  <a:lstStyle/>
                  <a:p>
                    <a:fld id="{2B1CABD8-C543-4DC5-8A10-9300BC11FF15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AE9-4952-8E9C-368A3C6E6325}"/>
                </c:ext>
              </c:extLst>
            </c:dLbl>
            <c:dLbl>
              <c:idx val="3"/>
              <c:layout>
                <c:manualLayout>
                  <c:x val="0.19495614035087699"/>
                  <c:y val="-0.275166666666667"/>
                </c:manualLayout>
              </c:layout>
              <c:tx>
                <c:rich>
                  <a:bodyPr/>
                  <a:lstStyle/>
                  <a:p>
                    <a:fld id="{0BEDC0A0-BD4A-444A-8667-4D5090BFCD39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AE9-4952-8E9C-368A3C6E6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GRAFICAS!$D$234:$D$237</c:f>
              <c:numCache>
                <c:formatCode>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</c:numCache>
            </c:numRef>
          </c:cat>
          <c:val>
            <c:numRef>
              <c:f>GRAFICAS!$E$234:$E$237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0.19999999999999996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9-4952-8E9C-368A3C6E632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70"/>
        <c:holeSize val="50"/>
      </c:doughnutChart>
      <c:scatterChart>
        <c:scatterStyle val="smoothMarker"/>
        <c:varyColors val="0"/>
        <c:ser>
          <c:idx val="1"/>
          <c:order val="1"/>
          <c:tx>
            <c:strRef>
              <c:f>GRAFICAS!$C$250</c:f>
              <c:strCache>
                <c:ptCount val="1"/>
                <c:pt idx="0">
                  <c:v>Físico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GRAFICAS!$D$251:$D$252</c:f>
              <c:numCache>
                <c:formatCode>General</c:formatCode>
                <c:ptCount val="2"/>
                <c:pt idx="0">
                  <c:v>0</c:v>
                </c:pt>
                <c:pt idx="1">
                  <c:v>0.99691733373312796</c:v>
                </c:pt>
              </c:numCache>
            </c:numRef>
          </c:xVal>
          <c:yVal>
            <c:numRef>
              <c:f>GRAFICAS!$E$251:$E$252</c:f>
              <c:numCache>
                <c:formatCode>General</c:formatCode>
                <c:ptCount val="2"/>
                <c:pt idx="0">
                  <c:v>0</c:v>
                </c:pt>
                <c:pt idx="1">
                  <c:v>7.8459095727845068E-2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9AE9-4952-8E9C-368A3C6E6325}"/>
            </c:ext>
          </c:extLst>
        </c:ser>
        <c:ser>
          <c:idx val="2"/>
          <c:order val="2"/>
          <c:tx>
            <c:strRef>
              <c:f>GRAFICAS!$C$254</c:f>
              <c:strCache>
                <c:ptCount val="1"/>
                <c:pt idx="0">
                  <c:v>Financiero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GRAFICAS!$D$255:$D$256</c:f>
              <c:numCache>
                <c:formatCode>General</c:formatCode>
                <c:ptCount val="2"/>
                <c:pt idx="0">
                  <c:v>0</c:v>
                </c:pt>
                <c:pt idx="1">
                  <c:v>0.73674325958512499</c:v>
                </c:pt>
              </c:numCache>
            </c:numRef>
          </c:xVal>
          <c:yVal>
            <c:numRef>
              <c:f>GRAFICAS!$E$255:$E$256</c:f>
              <c:numCache>
                <c:formatCode>General</c:formatCode>
                <c:ptCount val="2"/>
                <c:pt idx="0">
                  <c:v>0</c:v>
                </c:pt>
                <c:pt idx="1">
                  <c:v>0.67617258851264084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9AE9-4952-8E9C-368A3C6E6325}"/>
            </c:ext>
          </c:extLst>
        </c:ser>
        <c:ser>
          <c:idx val="3"/>
          <c:order val="3"/>
          <c:tx>
            <c:strRef>
              <c:f>GRAFICAS!$C$258</c:f>
              <c:strCache>
                <c:ptCount val="1"/>
                <c:pt idx="0">
                  <c:v>Tiempo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GRAFICAS!$D$259:$D$260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GRAFICAS!$E$259:$E$260</c:f>
              <c:numCache>
                <c:formatCode>General</c:formatCode>
                <c:ptCount val="2"/>
                <c:pt idx="0">
                  <c:v>0</c:v>
                </c:pt>
                <c:pt idx="1">
                  <c:v>1.22514845490862E-16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9AE9-4952-8E9C-368A3C6E6325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310273888"/>
        <c:axId val="310271408"/>
      </c:scatterChart>
      <c:valAx>
        <c:axId val="31027140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10273888"/>
        <c:crossesAt val="-0.9"/>
        <c:crossBetween val="midCat"/>
      </c:valAx>
      <c:valAx>
        <c:axId val="310273888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310271408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8765643274854"/>
          <c:y val="0.52419055555555605"/>
          <c:w val="0.40246856725146202"/>
          <c:h val="5.953166666666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 PROYECTO 1563 - SEGURIDAD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8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02E-4D37-AAB6-7984AFDFD69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2E-4D37-AAB6-7984AFDFD69C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02E-4D37-AAB6-7984AFDFD69C}"/>
              </c:ext>
            </c:extLst>
          </c:dPt>
          <c:dPt>
            <c:idx val="3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2E-4D37-AAB6-7984AFDFD69C}"/>
              </c:ext>
            </c:extLst>
          </c:dPt>
          <c:dLbls>
            <c:dLbl>
              <c:idx val="0"/>
              <c:layout>
                <c:manualLayout>
                  <c:x val="-8.9122807017543798E-2"/>
                  <c:y val="0.137583333333333"/>
                </c:manualLayout>
              </c:layout>
              <c:tx>
                <c:rich>
                  <a:bodyPr/>
                  <a:lstStyle/>
                  <a:p>
                    <a:fld id="{CBF131EA-830F-48D1-9995-FD85EF4EBC99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02E-4D37-AAB6-7984AFDFD69C}"/>
                </c:ext>
              </c:extLst>
            </c:dLbl>
            <c:dLbl>
              <c:idx val="1"/>
              <c:layout>
                <c:manualLayout>
                  <c:x val="-0.124400584795322"/>
                  <c:y val="-0.105833333333333"/>
                </c:manualLayout>
              </c:layout>
              <c:tx>
                <c:rich>
                  <a:bodyPr/>
                  <a:lstStyle/>
                  <a:p>
                    <a:fld id="{2C6F0A2F-DE2C-4A9D-8AE6-25DF8A508D47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02E-4D37-AAB6-7984AFDFD69C}"/>
                </c:ext>
              </c:extLst>
            </c:dLbl>
            <c:dLbl>
              <c:idx val="2"/>
              <c:layout>
                <c:manualLayout>
                  <c:x val="3.5277777777777797E-2"/>
                  <c:y val="-0.15169444444444499"/>
                </c:manualLayout>
              </c:layout>
              <c:tx>
                <c:rich>
                  <a:bodyPr/>
                  <a:lstStyle/>
                  <a:p>
                    <a:fld id="{0421B15D-3B82-47F2-8E88-63C5416B18A1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02E-4D37-AAB6-7984AFDFD69C}"/>
                </c:ext>
              </c:extLst>
            </c:dLbl>
            <c:dLbl>
              <c:idx val="3"/>
              <c:layout>
                <c:manualLayout>
                  <c:x val="0.209809941520468"/>
                  <c:y val="-0.296333333333333"/>
                </c:manualLayout>
              </c:layout>
              <c:tx>
                <c:rich>
                  <a:bodyPr/>
                  <a:lstStyle/>
                  <a:p>
                    <a:fld id="{462B20E6-4138-4E45-97FE-CE819BE2F0F4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02E-4D37-AAB6-7984AFDFD6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GRAFICAS!$D$266:$D$269</c:f>
              <c:numCache>
                <c:formatCode>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</c:numCache>
            </c:numRef>
          </c:cat>
          <c:val>
            <c:numRef>
              <c:f>GRAFICAS!$E$266:$E$269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0.19999999999999996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E-4D37-AAB6-7984AFDFD69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70"/>
        <c:holeSize val="50"/>
      </c:doughnutChart>
      <c:scatterChart>
        <c:scatterStyle val="smoothMarker"/>
        <c:varyColors val="0"/>
        <c:ser>
          <c:idx val="1"/>
          <c:order val="1"/>
          <c:tx>
            <c:strRef>
              <c:f>GRAFICAS!$C$282</c:f>
              <c:strCache>
                <c:ptCount val="1"/>
                <c:pt idx="0">
                  <c:v>Físico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GRAFICAS!$D$283:$D$284</c:f>
              <c:numCache>
                <c:formatCode>General</c:formatCode>
                <c:ptCount val="2"/>
                <c:pt idx="0">
                  <c:v>0</c:v>
                </c:pt>
                <c:pt idx="1">
                  <c:v>0.50000000000000022</c:v>
                </c:pt>
              </c:numCache>
            </c:numRef>
          </c:xVal>
          <c:yVal>
            <c:numRef>
              <c:f>GRAFICAS!$E$283:$E$284</c:f>
              <c:numCache>
                <c:formatCode>General</c:formatCode>
                <c:ptCount val="2"/>
                <c:pt idx="0">
                  <c:v>0</c:v>
                </c:pt>
                <c:pt idx="1">
                  <c:v>0.86602540378443849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02E-4D37-AAB6-7984AFDFD69C}"/>
            </c:ext>
          </c:extLst>
        </c:ser>
        <c:ser>
          <c:idx val="2"/>
          <c:order val="2"/>
          <c:tx>
            <c:strRef>
              <c:f>GRAFICAS!$C$286</c:f>
              <c:strCache>
                <c:ptCount val="1"/>
                <c:pt idx="0">
                  <c:v>Financiero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GRAFICAS!$D$287:$D$288</c:f>
              <c:numCache>
                <c:formatCode>General</c:formatCode>
                <c:ptCount val="2"/>
                <c:pt idx="0">
                  <c:v>0</c:v>
                </c:pt>
                <c:pt idx="1">
                  <c:v>0.3104692911935174</c:v>
                </c:pt>
              </c:numCache>
            </c:numRef>
          </c:xVal>
          <c:yVal>
            <c:numRef>
              <c:f>GRAFICAS!$E$287:$E$288</c:f>
              <c:numCache>
                <c:formatCode>General</c:formatCode>
                <c:ptCount val="2"/>
                <c:pt idx="0">
                  <c:v>0</c:v>
                </c:pt>
                <c:pt idx="1">
                  <c:v>0.95058340992560719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02E-4D37-AAB6-7984AFDFD69C}"/>
            </c:ext>
          </c:extLst>
        </c:ser>
        <c:ser>
          <c:idx val="3"/>
          <c:order val="3"/>
          <c:tx>
            <c:strRef>
              <c:f>GRAFICAS!$C$290</c:f>
              <c:strCache>
                <c:ptCount val="1"/>
                <c:pt idx="0">
                  <c:v>Tiempo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GRAFICAS!$D$291:$D$292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GRAFICAS!$E$291:$E$292</c:f>
              <c:numCache>
                <c:formatCode>General</c:formatCode>
                <c:ptCount val="2"/>
                <c:pt idx="0">
                  <c:v>0</c:v>
                </c:pt>
                <c:pt idx="1">
                  <c:v>1.22514845490862E-16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02E-4D37-AAB6-7984AFDFD69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310328752"/>
        <c:axId val="310326272"/>
      </c:scatterChart>
      <c:valAx>
        <c:axId val="310326272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10328752"/>
        <c:crossesAt val="-0.9"/>
        <c:crossBetween val="midCat"/>
      </c:valAx>
      <c:valAx>
        <c:axId val="31032875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310326272"/>
        <c:crossesAt val="0"/>
        <c:crossBetween val="midCat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8765643274854"/>
          <c:y val="0.52066277777777803"/>
          <c:w val="0.40246856725146202"/>
          <c:h val="5.953166666666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ESTADO PROYECTO 1552 - EDUCACIÓN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B4C-4B64-A9D9-2A36B391D411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B4C-4B64-A9D9-2A36B391D411}"/>
              </c:ext>
            </c:extLst>
          </c:dPt>
          <c:dPt>
            <c:idx val="2"/>
            <c:bubble3D val="0"/>
            <c:spPr>
              <a:solidFill>
                <a:srgbClr val="008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4C-4B64-A9D9-2A36B391D411}"/>
              </c:ext>
            </c:extLst>
          </c:dPt>
          <c:dPt>
            <c:idx val="3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4C-4B64-A9D9-2A36B391D411}"/>
              </c:ext>
            </c:extLst>
          </c:dPt>
          <c:dLbls>
            <c:dLbl>
              <c:idx val="0"/>
              <c:layout>
                <c:manualLayout>
                  <c:x val="-8.9122807017543895E-2"/>
                  <c:y val="0.127"/>
                </c:manualLayout>
              </c:layout>
              <c:tx>
                <c:rich>
                  <a:bodyPr/>
                  <a:lstStyle/>
                  <a:p>
                    <a:fld id="{49C42EA7-F3F7-4018-846A-50FA247ED724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B4C-4B64-A9D9-2A36B391D411}"/>
                </c:ext>
              </c:extLst>
            </c:dLbl>
            <c:dLbl>
              <c:idx val="1"/>
              <c:layout>
                <c:manualLayout>
                  <c:x val="-0.11883040935672499"/>
                  <c:y val="-9.8777777777777798E-2"/>
                </c:manualLayout>
              </c:layout>
              <c:tx>
                <c:rich>
                  <a:bodyPr/>
                  <a:lstStyle/>
                  <a:p>
                    <a:fld id="{E4E48ED2-E19F-44ED-AD84-31D0E6194298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B4C-4B64-A9D9-2A36B391D411}"/>
                </c:ext>
              </c:extLst>
            </c:dLbl>
            <c:dLbl>
              <c:idx val="2"/>
              <c:layout>
                <c:manualLayout>
                  <c:x val="3.1564327485380003E-2"/>
                  <c:y val="-0.14463888888888901"/>
                </c:manualLayout>
              </c:layout>
              <c:tx>
                <c:rich>
                  <a:bodyPr/>
                  <a:lstStyle/>
                  <a:p>
                    <a:fld id="{D7E00C7C-79BA-4C68-9E54-05C6EFD2E6CA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B4C-4B64-A9D9-2A36B391D411}"/>
                </c:ext>
              </c:extLst>
            </c:dLbl>
            <c:dLbl>
              <c:idx val="3"/>
              <c:layout>
                <c:manualLayout>
                  <c:x val="0.19309941520467799"/>
                  <c:y val="-0.27869444444444402"/>
                </c:manualLayout>
              </c:layout>
              <c:tx>
                <c:rich>
                  <a:bodyPr/>
                  <a:lstStyle/>
                  <a:p>
                    <a:fld id="{1878FE4B-CCBB-4CFF-B5D0-CB0E0D657313}" type="CATEGORYNAME">
                      <a:rPr lang="en-US"/>
                      <a:pPr/>
                      <a:t>[NOMBRE DE CATEGORÍA]</a:t>
                    </a:fld>
                    <a:endParaRPr lang="es-CO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B4C-4B64-A9D9-2A36B391D4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GRAFICAS!$D$298:$D$301</c:f>
              <c:numCache>
                <c:formatCode>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</c:numCache>
            </c:numRef>
          </c:cat>
          <c:val>
            <c:numRef>
              <c:f>GRAFICAS!$E$298:$E$301</c:f>
              <c:numCache>
                <c:formatCode>0%</c:formatCode>
                <c:ptCount val="4"/>
                <c:pt idx="0">
                  <c:v>0.4</c:v>
                </c:pt>
                <c:pt idx="1">
                  <c:v>0.4</c:v>
                </c:pt>
                <c:pt idx="2">
                  <c:v>0.19999999999999996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C-4B64-A9D9-2A36B391D4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70"/>
        <c:holeSize val="50"/>
      </c:doughnutChart>
      <c:scatterChart>
        <c:scatterStyle val="smoothMarker"/>
        <c:varyColors val="0"/>
        <c:ser>
          <c:idx val="1"/>
          <c:order val="1"/>
          <c:tx>
            <c:strRef>
              <c:f>GRAFICAS!$C$314</c:f>
              <c:strCache>
                <c:ptCount val="1"/>
                <c:pt idx="0">
                  <c:v>Físico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GRAFICAS!$D$315:$D$316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GRAFICAS!$E$315:$E$316</c:f>
              <c:numCache>
                <c:formatCode>General</c:formatCode>
                <c:ptCount val="2"/>
                <c:pt idx="0">
                  <c:v>0</c:v>
                </c:pt>
                <c:pt idx="1">
                  <c:v>1.22514845490862E-16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B4C-4B64-A9D9-2A36B391D411}"/>
            </c:ext>
          </c:extLst>
        </c:ser>
        <c:ser>
          <c:idx val="2"/>
          <c:order val="2"/>
          <c:tx>
            <c:strRef>
              <c:f>GRAFICAS!$C$318</c:f>
              <c:strCache>
                <c:ptCount val="1"/>
                <c:pt idx="0">
                  <c:v>Financiero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  <a:tailEnd type="triangle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GRAFICAS!$D$319:$D$320</c:f>
              <c:numCache>
                <c:formatCode>General</c:formatCode>
                <c:ptCount val="2"/>
                <c:pt idx="0">
                  <c:v>0</c:v>
                </c:pt>
                <c:pt idx="1">
                  <c:v>-1</c:v>
                </c:pt>
              </c:numCache>
            </c:numRef>
          </c:xVal>
          <c:yVal>
            <c:numRef>
              <c:f>GRAFICAS!$E$319:$E$320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B4C-4B64-A9D9-2A36B391D411}"/>
            </c:ext>
          </c:extLst>
        </c:ser>
        <c:ser>
          <c:idx val="3"/>
          <c:order val="3"/>
          <c:tx>
            <c:strRef>
              <c:f>GRAFICAS!$C$322</c:f>
              <c:strCache>
                <c:ptCount val="1"/>
                <c:pt idx="0">
                  <c:v>Tiempo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GRAFICAS!$D$323:$D$324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GRAFICAS!$E$323:$E$324</c:f>
              <c:numCache>
                <c:formatCode>General</c:formatCode>
                <c:ptCount val="2"/>
                <c:pt idx="0">
                  <c:v>0</c:v>
                </c:pt>
                <c:pt idx="1">
                  <c:v>1.22514845490862E-16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B4C-4B64-A9D9-2A36B391D411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</c:dLbls>
        <c:axId val="327175952"/>
        <c:axId val="327173888"/>
      </c:scatterChart>
      <c:valAx>
        <c:axId val="32717388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327175952"/>
        <c:crossesAt val="-1"/>
        <c:crossBetween val="midCat"/>
      </c:valAx>
      <c:valAx>
        <c:axId val="32717595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327173888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298765643274854"/>
          <c:y val="0.52771833333333396"/>
          <c:w val="0.40246856725146202"/>
          <c:h val="5.9531666666666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2700" cap="flat" cmpd="sng" algn="ctr">
      <a:noFill/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DUCACI&#211;N - 2019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DOTACI&#211;N JARDINES 2019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BUEN TRATO 2019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MBIENTE - 2018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ARQUES - 2019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EPORTES - 2019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CULTURA - 2019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MALLA VIAL - 2018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BUEN TRATO- 2018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ARTICIPACION  - 2019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EGURIDAD 2019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1590674</xdr:colOff>
      <xdr:row>5</xdr:row>
      <xdr:rowOff>14286</xdr:rowOff>
    </xdr:from>
    <xdr:to>
      <xdr:col>14</xdr:col>
      <xdr:colOff>761099</xdr:colOff>
      <xdr:row>23</xdr:row>
      <xdr:rowOff>185286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1715858</xdr:colOff>
      <xdr:row>19</xdr:row>
      <xdr:rowOff>23812</xdr:rowOff>
    </xdr:from>
    <xdr:to>
      <xdr:col>15</xdr:col>
      <xdr:colOff>124283</xdr:colOff>
      <xdr:row>38</xdr:row>
      <xdr:rowOff>4312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709611</xdr:colOff>
      <xdr:row>19</xdr:row>
      <xdr:rowOff>42862</xdr:rowOff>
    </xdr:from>
    <xdr:to>
      <xdr:col>22</xdr:col>
      <xdr:colOff>70536</xdr:colOff>
      <xdr:row>38</xdr:row>
      <xdr:rowOff>23362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1600203</xdr:colOff>
      <xdr:row>32</xdr:row>
      <xdr:rowOff>157162</xdr:rowOff>
    </xdr:from>
    <xdr:to>
      <xdr:col>15</xdr:col>
      <xdr:colOff>8628</xdr:colOff>
      <xdr:row>51</xdr:row>
      <xdr:rowOff>137662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695324</xdr:colOff>
      <xdr:row>32</xdr:row>
      <xdr:rowOff>119062</xdr:rowOff>
    </xdr:from>
    <xdr:to>
      <xdr:col>22</xdr:col>
      <xdr:colOff>56249</xdr:colOff>
      <xdr:row>51</xdr:row>
      <xdr:rowOff>99562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1612505</xdr:colOff>
      <xdr:row>46</xdr:row>
      <xdr:rowOff>34166</xdr:rowOff>
    </xdr:from>
    <xdr:to>
      <xdr:col>15</xdr:col>
      <xdr:colOff>10284</xdr:colOff>
      <xdr:row>65</xdr:row>
      <xdr:rowOff>14666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668107</xdr:colOff>
      <xdr:row>46</xdr:row>
      <xdr:rowOff>23811</xdr:rowOff>
    </xdr:from>
    <xdr:to>
      <xdr:col>22</xdr:col>
      <xdr:colOff>23989</xdr:colOff>
      <xdr:row>65</xdr:row>
      <xdr:rowOff>4311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1654097</xdr:colOff>
      <xdr:row>60</xdr:row>
      <xdr:rowOff>25883</xdr:rowOff>
    </xdr:from>
    <xdr:to>
      <xdr:col>15</xdr:col>
      <xdr:colOff>46274</xdr:colOff>
      <xdr:row>79</xdr:row>
      <xdr:rowOff>6383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640896</xdr:colOff>
      <xdr:row>60</xdr:row>
      <xdr:rowOff>14287</xdr:rowOff>
    </xdr:from>
    <xdr:to>
      <xdr:col>21</xdr:col>
      <xdr:colOff>758778</xdr:colOff>
      <xdr:row>78</xdr:row>
      <xdr:rowOff>185287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7</xdr:col>
      <xdr:colOff>95250</xdr:colOff>
      <xdr:row>1</xdr:row>
      <xdr:rowOff>28575</xdr:rowOff>
    </xdr:from>
    <xdr:to>
      <xdr:col>10</xdr:col>
      <xdr:colOff>657225</xdr:colOff>
      <xdr:row>4</xdr:row>
      <xdr:rowOff>174621</xdr:rowOff>
    </xdr:to>
    <xdr:pic>
      <xdr:nvPicPr>
        <xdr:cNvPr id="20" name="Imagen 19" descr="Resultado de imagen para nuevo logo alcaldia bogot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2190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298450</xdr:colOff>
      <xdr:row>74</xdr:row>
      <xdr:rowOff>12700</xdr:rowOff>
    </xdr:from>
    <xdr:to>
      <xdr:col>15</xdr:col>
      <xdr:colOff>455179</xdr:colOff>
      <xdr:row>92</xdr:row>
      <xdr:rowOff>183700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685800</xdr:colOff>
      <xdr:row>34</xdr:row>
      <xdr:rowOff>0</xdr:rowOff>
    </xdr:from>
    <xdr:to>
      <xdr:col>11</xdr:col>
      <xdr:colOff>514350</xdr:colOff>
      <xdr:row>36</xdr:row>
      <xdr:rowOff>47625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458075" y="6477000"/>
          <a:ext cx="20478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 b="1">
              <a:solidFill>
                <a:srgbClr val="FF0000"/>
              </a:solidFill>
            </a:rPr>
            <a:t>SUSPENDIDO</a:t>
          </a:r>
        </a:p>
      </xdr:txBody>
    </xdr:sp>
    <xdr:clientData/>
  </xdr:twoCellAnchor>
  <xdr:twoCellAnchor>
    <xdr:from>
      <xdr:col>15</xdr:col>
      <xdr:colOff>266700</xdr:colOff>
      <xdr:row>47</xdr:row>
      <xdr:rowOff>57150</xdr:rowOff>
    </xdr:from>
    <xdr:to>
      <xdr:col>18</xdr:col>
      <xdr:colOff>28575</xdr:colOff>
      <xdr:row>49</xdr:row>
      <xdr:rowOff>104775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2334875" y="9010650"/>
          <a:ext cx="20478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 b="1">
              <a:solidFill>
                <a:srgbClr val="008000"/>
              </a:solidFill>
            </a:rPr>
            <a:t>EN</a:t>
          </a:r>
          <a:r>
            <a:rPr lang="es-CO" sz="1100" b="1" baseline="0">
              <a:solidFill>
                <a:srgbClr val="008000"/>
              </a:solidFill>
            </a:rPr>
            <a:t> LIQUIDACION</a:t>
          </a:r>
          <a:endParaRPr lang="es-CO" sz="1100" b="1">
            <a:solidFill>
              <a:srgbClr val="008000"/>
            </a:solidFill>
          </a:endParaRPr>
        </a:p>
      </xdr:txBody>
    </xdr:sp>
    <xdr:clientData/>
  </xdr:twoCellAnchor>
  <xdr:twoCellAnchor>
    <xdr:from>
      <xdr:col>9</xdr:col>
      <xdr:colOff>514350</xdr:colOff>
      <xdr:row>75</xdr:row>
      <xdr:rowOff>47625</xdr:rowOff>
    </xdr:from>
    <xdr:to>
      <xdr:col>12</xdr:col>
      <xdr:colOff>276225</xdr:colOff>
      <xdr:row>77</xdr:row>
      <xdr:rowOff>95250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981950" y="14335125"/>
          <a:ext cx="20478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 b="1">
              <a:solidFill>
                <a:schemeClr val="accent6">
                  <a:lumMod val="50000"/>
                </a:schemeClr>
              </a:solidFill>
            </a:rPr>
            <a:t>EN</a:t>
          </a:r>
          <a:r>
            <a:rPr lang="es-CO" sz="1100" b="1" baseline="0">
              <a:solidFill>
                <a:schemeClr val="accent6">
                  <a:lumMod val="50000"/>
                </a:schemeClr>
              </a:solidFill>
            </a:rPr>
            <a:t> EJECUCIÓN</a:t>
          </a:r>
          <a:endParaRPr lang="es-CO" sz="11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200025</xdr:colOff>
      <xdr:row>20</xdr:row>
      <xdr:rowOff>47625</xdr:rowOff>
    </xdr:from>
    <xdr:to>
      <xdr:col>11</xdr:col>
      <xdr:colOff>723900</xdr:colOff>
      <xdr:row>22</xdr:row>
      <xdr:rowOff>95250</xdr:rowOff>
    </xdr:to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667625" y="3857625"/>
          <a:ext cx="20478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 b="1">
              <a:solidFill>
                <a:srgbClr val="008000"/>
              </a:solidFill>
            </a:rPr>
            <a:t>EN LIQUIDACIÓN</a:t>
          </a:r>
        </a:p>
      </xdr:txBody>
    </xdr:sp>
    <xdr:clientData/>
  </xdr:twoCellAnchor>
  <xdr:twoCellAnchor>
    <xdr:from>
      <xdr:col>15</xdr:col>
      <xdr:colOff>314325</xdr:colOff>
      <xdr:row>33</xdr:row>
      <xdr:rowOff>142875</xdr:rowOff>
    </xdr:from>
    <xdr:to>
      <xdr:col>18</xdr:col>
      <xdr:colOff>76200</xdr:colOff>
      <xdr:row>36</xdr:row>
      <xdr:rowOff>0</xdr:rowOff>
    </xdr:to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2382500" y="6429375"/>
          <a:ext cx="20478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 b="1">
              <a:solidFill>
                <a:srgbClr val="008000"/>
              </a:solidFill>
            </a:rPr>
            <a:t>EN LIQUIDACIÓN</a:t>
          </a:r>
        </a:p>
      </xdr:txBody>
    </xdr:sp>
    <xdr:clientData/>
  </xdr:twoCellAnchor>
  <xdr:twoCellAnchor>
    <xdr:from>
      <xdr:col>9</xdr:col>
      <xdr:colOff>95250</xdr:colOff>
      <xdr:row>47</xdr:row>
      <xdr:rowOff>66675</xdr:rowOff>
    </xdr:from>
    <xdr:to>
      <xdr:col>11</xdr:col>
      <xdr:colOff>619125</xdr:colOff>
      <xdr:row>49</xdr:row>
      <xdr:rowOff>114300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562850" y="9020175"/>
          <a:ext cx="20478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 b="1">
              <a:solidFill>
                <a:srgbClr val="008000"/>
              </a:solidFill>
            </a:rPr>
            <a:t>EN LIQUIDACIÓN</a:t>
          </a:r>
        </a:p>
      </xdr:txBody>
    </xdr:sp>
    <xdr:clientData/>
  </xdr:twoCellAnchor>
  <xdr:twoCellAnchor>
    <xdr:from>
      <xdr:col>9</xdr:col>
      <xdr:colOff>123825</xdr:colOff>
      <xdr:row>61</xdr:row>
      <xdr:rowOff>57150</xdr:rowOff>
    </xdr:from>
    <xdr:to>
      <xdr:col>11</xdr:col>
      <xdr:colOff>647700</xdr:colOff>
      <xdr:row>63</xdr:row>
      <xdr:rowOff>104775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591425" y="11677650"/>
          <a:ext cx="20478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 b="1">
              <a:solidFill>
                <a:srgbClr val="008000"/>
              </a:solidFill>
            </a:rPr>
            <a:t>EN EJECUCIÓN</a:t>
          </a:r>
        </a:p>
      </xdr:txBody>
    </xdr:sp>
    <xdr:clientData/>
  </xdr:twoCellAnchor>
  <xdr:twoCellAnchor>
    <xdr:from>
      <xdr:col>15</xdr:col>
      <xdr:colOff>219075</xdr:colOff>
      <xdr:row>61</xdr:row>
      <xdr:rowOff>38100</xdr:rowOff>
    </xdr:from>
    <xdr:to>
      <xdr:col>17</xdr:col>
      <xdr:colOff>742950</xdr:colOff>
      <xdr:row>63</xdr:row>
      <xdr:rowOff>85725</xdr:rowOff>
    </xdr:to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2287250" y="11658600"/>
          <a:ext cx="20478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100" b="1">
              <a:solidFill>
                <a:srgbClr val="008000"/>
              </a:solidFill>
            </a:rPr>
            <a:t>EN LIQUIDACIÓN</a:t>
          </a:r>
        </a:p>
      </xdr:txBody>
    </xdr:sp>
    <xdr:clientData/>
  </xdr:twoCellAnchor>
  <xdr:twoCellAnchor>
    <xdr:from>
      <xdr:col>11</xdr:col>
      <xdr:colOff>613064</xdr:colOff>
      <xdr:row>5</xdr:row>
      <xdr:rowOff>108238</xdr:rowOff>
    </xdr:from>
    <xdr:to>
      <xdr:col>21</xdr:col>
      <xdr:colOff>732678</xdr:colOff>
      <xdr:row>24</xdr:row>
      <xdr:rowOff>88738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0.33978</cdr:x>
      <cdr:y>0.57282</cdr:y>
    </cdr:from>
    <cdr:to>
      <cdr:x>0.41916</cdr:x>
      <cdr:y>0.67866</cdr:y>
    </cdr:to>
    <cdr:sp macro="" textlink="GRAFICAS!$D$303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624DB58-2867-43BC-886B-F76D423E3A0B}"/>
            </a:ext>
          </a:extLst>
        </cdr:cNvPr>
        <cdr:cNvSpPr txBox="1"/>
      </cdr:nvSpPr>
      <cdr:spPr>
        <a:xfrm xmlns:a="http://schemas.openxmlformats.org/drawingml/2006/main">
          <a:off x="2324100" y="2062163"/>
          <a:ext cx="5429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16367BC-E554-4AA4-91D2-398F768215A4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100,00%</a:t>
          </a:fld>
          <a:endParaRPr lang="es-CO" sz="1000"/>
        </a:p>
      </cdr:txBody>
    </cdr:sp>
  </cdr:relSizeAnchor>
  <cdr:relSizeAnchor xmlns:cdr="http://schemas.openxmlformats.org/drawingml/2006/chartDrawing">
    <cdr:from>
      <cdr:x>0.47393</cdr:x>
      <cdr:y>0.57238</cdr:y>
    </cdr:from>
    <cdr:to>
      <cdr:x>0.5533</cdr:x>
      <cdr:y>0.67822</cdr:y>
    </cdr:to>
    <cdr:sp macro="" textlink="GRAFICAS!$D$306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8F29B7EF-740A-4CC0-A103-D8AD246FA80E}"/>
            </a:ext>
          </a:extLst>
        </cdr:cNvPr>
        <cdr:cNvSpPr txBox="1"/>
      </cdr:nvSpPr>
      <cdr:spPr>
        <a:xfrm xmlns:a="http://schemas.openxmlformats.org/drawingml/2006/main">
          <a:off x="3241675" y="2060575"/>
          <a:ext cx="5429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D67FB2C-76DC-4F90-9732-5FE9FADD099E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0,00%</a:t>
          </a:fld>
          <a:endParaRPr lang="es-CO" sz="1000"/>
        </a:p>
      </cdr:txBody>
    </cdr:sp>
  </cdr:relSizeAnchor>
  <cdr:relSizeAnchor xmlns:cdr="http://schemas.openxmlformats.org/drawingml/2006/chartDrawing">
    <cdr:from>
      <cdr:x>0.6104</cdr:x>
      <cdr:y>0.57238</cdr:y>
    </cdr:from>
    <cdr:to>
      <cdr:x>0.68977</cdr:x>
      <cdr:y>0.67822</cdr:y>
    </cdr:to>
    <cdr:sp macro="" textlink="GRAFICAS!$D$311">
      <cdr:nvSpPr>
        <cdr:cNvPr id="4" name="CuadroTexto 1">
          <a:extLst xmlns:a="http://schemas.openxmlformats.org/drawingml/2006/main">
            <a:ext uri="{FF2B5EF4-FFF2-40B4-BE49-F238E27FC236}">
              <a16:creationId xmlns:a16="http://schemas.microsoft.com/office/drawing/2014/main" id="{519D9255-EB0B-4FEE-894C-C0C5E7A6B5C7}"/>
            </a:ext>
          </a:extLst>
        </cdr:cNvPr>
        <cdr:cNvSpPr txBox="1"/>
      </cdr:nvSpPr>
      <cdr:spPr>
        <a:xfrm xmlns:a="http://schemas.openxmlformats.org/drawingml/2006/main">
          <a:off x="4175125" y="2060575"/>
          <a:ext cx="5429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43AE00D-3209-49C8-B779-56FB74F0156D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100%</a:t>
          </a:fld>
          <a:endParaRPr lang="es-CO" sz="1000"/>
        </a:p>
      </cdr:txBody>
    </cdr:sp>
  </cdr:relSizeAnchor>
  <cdr:relSizeAnchor xmlns:cdr="http://schemas.openxmlformats.org/drawingml/2006/chartDrawing">
    <cdr:from>
      <cdr:x>0.74892</cdr:x>
      <cdr:y>0.02514</cdr:y>
    </cdr:from>
    <cdr:to>
      <cdr:x>0.83398</cdr:x>
      <cdr:y>0.09514</cdr:y>
    </cdr:to>
    <cdr:sp macro="" textlink="">
      <cdr:nvSpPr>
        <cdr:cNvPr id="5" name="Rectángulo: esquinas redondeadas 4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34373E7F-1153-4C12-8DD3-40BF439EC1BA}"/>
            </a:ext>
          </a:extLst>
        </cdr:cNvPr>
        <cdr:cNvSpPr/>
      </cdr:nvSpPr>
      <cdr:spPr>
        <a:xfrm xmlns:a="http://schemas.openxmlformats.org/drawingml/2006/main">
          <a:off x="5388429" y="90488"/>
          <a:ext cx="612000" cy="252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DA0F2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b="1">
              <a:solidFill>
                <a:schemeClr val="tx1"/>
              </a:solidFill>
            </a:rPr>
            <a:t>DATOS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0.3676</cdr:x>
      <cdr:y>0.56224</cdr:y>
    </cdr:from>
    <cdr:to>
      <cdr:x>0.45812</cdr:x>
      <cdr:y>0.72893</cdr:y>
    </cdr:to>
    <cdr:sp macro="" textlink="GRAFICAS!$D$369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AA2EC844-25D1-4C80-8C5C-9CC227F6A97A}"/>
            </a:ext>
          </a:extLst>
        </cdr:cNvPr>
        <cdr:cNvSpPr txBox="1"/>
      </cdr:nvSpPr>
      <cdr:spPr>
        <a:xfrm xmlns:a="http://schemas.openxmlformats.org/drawingml/2006/main">
          <a:off x="2642796" y="2024049"/>
          <a:ext cx="650780" cy="600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BD02FAD-EDC8-4FD6-906F-7909F700BB94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33%</a:t>
          </a:fld>
          <a:endParaRPr lang="es-CO" sz="1000"/>
        </a:p>
      </cdr:txBody>
    </cdr:sp>
  </cdr:relSizeAnchor>
  <cdr:relSizeAnchor xmlns:cdr="http://schemas.openxmlformats.org/drawingml/2006/chartDrawing">
    <cdr:from>
      <cdr:x>0.49333</cdr:x>
      <cdr:y>0.55959</cdr:y>
    </cdr:from>
    <cdr:to>
      <cdr:x>0.60474</cdr:x>
      <cdr:y>0.66014</cdr:y>
    </cdr:to>
    <cdr:sp macro="" textlink="GRAFICAS!$D$372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4D77B8B4-DC1D-4DE6-B0B4-9DCFE51EB1C8}"/>
            </a:ext>
          </a:extLst>
        </cdr:cNvPr>
        <cdr:cNvSpPr txBox="1"/>
      </cdr:nvSpPr>
      <cdr:spPr>
        <a:xfrm xmlns:a="http://schemas.openxmlformats.org/drawingml/2006/main">
          <a:off x="3546729" y="2014524"/>
          <a:ext cx="800966" cy="361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316FCA92-2879-4DBA-A2D5-61C07E22D37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0%</a:t>
          </a:fld>
          <a:endParaRPr lang="es-CO" sz="1000"/>
        </a:p>
      </cdr:txBody>
    </cdr:sp>
  </cdr:relSizeAnchor>
  <cdr:relSizeAnchor xmlns:cdr="http://schemas.openxmlformats.org/drawingml/2006/chartDrawing">
    <cdr:from>
      <cdr:x>0.6312</cdr:x>
      <cdr:y>0.55959</cdr:y>
    </cdr:from>
    <cdr:to>
      <cdr:x>0.70613</cdr:x>
      <cdr:y>0.64426</cdr:y>
    </cdr:to>
    <cdr:sp macro="" textlink="GRAFICAS!$D$377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BD953E00-6539-43CB-9E45-CB3E5D568F41}"/>
            </a:ext>
          </a:extLst>
        </cdr:cNvPr>
        <cdr:cNvSpPr txBox="1"/>
      </cdr:nvSpPr>
      <cdr:spPr>
        <a:xfrm xmlns:a="http://schemas.openxmlformats.org/drawingml/2006/main">
          <a:off x="4537943" y="2014524"/>
          <a:ext cx="538698" cy="304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092E1B1-5598-449C-B295-D996C1973D88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90%</a:t>
          </a:fld>
          <a:endParaRPr lang="es-CO" sz="800"/>
        </a:p>
      </cdr:txBody>
    </cdr:sp>
  </cdr:relSizeAnchor>
  <cdr:relSizeAnchor xmlns:cdr="http://schemas.openxmlformats.org/drawingml/2006/chartDrawing">
    <cdr:from>
      <cdr:x>0.7631</cdr:x>
      <cdr:y>0.01977</cdr:y>
    </cdr:from>
    <cdr:to>
      <cdr:x>0.84823</cdr:x>
      <cdr:y>0.08977</cdr:y>
    </cdr:to>
    <cdr:sp macro="" textlink="">
      <cdr:nvSpPr>
        <cdr:cNvPr id="5" name="Rectángulo: esquinas redondeadas 4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F1E3930B-16EC-4D9D-B916-3212951A0A3B}"/>
            </a:ext>
          </a:extLst>
        </cdr:cNvPr>
        <cdr:cNvSpPr/>
      </cdr:nvSpPr>
      <cdr:spPr>
        <a:xfrm xmlns:a="http://schemas.openxmlformats.org/drawingml/2006/main">
          <a:off x="5486175" y="71187"/>
          <a:ext cx="612029" cy="252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DA0F2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b="1">
              <a:solidFill>
                <a:schemeClr val="tx1"/>
              </a:solidFill>
            </a:rPr>
            <a:t>DATOS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0.32307</cdr:x>
      <cdr:y>0.55959</cdr:y>
    </cdr:from>
    <cdr:to>
      <cdr:x>0.41498</cdr:x>
      <cdr:y>0.64426</cdr:y>
    </cdr:to>
    <cdr:sp macro="" textlink="GRAFICAS!$D$336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FF459EE-A6CD-4958-81DF-DEF7C9D8ED97}"/>
            </a:ext>
          </a:extLst>
        </cdr:cNvPr>
        <cdr:cNvSpPr txBox="1"/>
      </cdr:nvSpPr>
      <cdr:spPr>
        <a:xfrm xmlns:a="http://schemas.openxmlformats.org/drawingml/2006/main">
          <a:off x="2209800" y="2014538"/>
          <a:ext cx="628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8011D862-6836-4488-84B3-5309DCFCFA3A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68%</a:t>
          </a:fld>
          <a:endParaRPr lang="es-CO" sz="800"/>
        </a:p>
      </cdr:txBody>
    </cdr:sp>
  </cdr:relSizeAnchor>
  <cdr:relSizeAnchor xmlns:cdr="http://schemas.openxmlformats.org/drawingml/2006/chartDrawing">
    <cdr:from>
      <cdr:x>0.3175</cdr:x>
      <cdr:y>0.60457</cdr:y>
    </cdr:from>
    <cdr:to>
      <cdr:x>0.42473</cdr:x>
      <cdr:y>0.71834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40B45599-C6F1-4E88-A195-AA335713B250}"/>
            </a:ext>
          </a:extLst>
        </cdr:cNvPr>
        <cdr:cNvSpPr txBox="1"/>
      </cdr:nvSpPr>
      <cdr:spPr>
        <a:xfrm xmlns:a="http://schemas.openxmlformats.org/drawingml/2006/main">
          <a:off x="2171700" y="2176463"/>
          <a:ext cx="7334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0.46511</cdr:x>
      <cdr:y>0.56224</cdr:y>
    </cdr:from>
    <cdr:to>
      <cdr:x>0.54448</cdr:x>
      <cdr:y>0.63897</cdr:y>
    </cdr:to>
    <cdr:sp macro="" textlink="GRAFICAS!$D$339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8FA54A2B-9BE9-4D9E-9327-D662A70B8F58}"/>
            </a:ext>
          </a:extLst>
        </cdr:cNvPr>
        <cdr:cNvSpPr txBox="1"/>
      </cdr:nvSpPr>
      <cdr:spPr>
        <a:xfrm xmlns:a="http://schemas.openxmlformats.org/drawingml/2006/main">
          <a:off x="3181350" y="2024062"/>
          <a:ext cx="542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3B7E0A13-E1FD-4D0A-B11C-D60EC20EA0A8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37%</a:t>
          </a:fld>
          <a:endParaRPr lang="es-CO" sz="800"/>
        </a:p>
      </cdr:txBody>
    </cdr:sp>
  </cdr:relSizeAnchor>
  <cdr:relSizeAnchor xmlns:cdr="http://schemas.openxmlformats.org/drawingml/2006/chartDrawing">
    <cdr:from>
      <cdr:x>0.59462</cdr:x>
      <cdr:y>0.5543</cdr:y>
    </cdr:from>
    <cdr:to>
      <cdr:x>0.68513</cdr:x>
      <cdr:y>0.64955</cdr:y>
    </cdr:to>
    <cdr:sp macro="" textlink="GRAFICAS!$D$344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5300F5BD-054F-4DD9-A763-DAE5A21C3A41}"/>
            </a:ext>
          </a:extLst>
        </cdr:cNvPr>
        <cdr:cNvSpPr txBox="1"/>
      </cdr:nvSpPr>
      <cdr:spPr>
        <a:xfrm xmlns:a="http://schemas.openxmlformats.org/drawingml/2006/main">
          <a:off x="4067175" y="1995488"/>
          <a:ext cx="6191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28943674-2664-48A5-BB17-F7B10FD41502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100%</a:t>
          </a:fld>
          <a:endParaRPr lang="es-CO" sz="800"/>
        </a:p>
      </cdr:txBody>
    </cdr:sp>
  </cdr:relSizeAnchor>
  <cdr:relSizeAnchor xmlns:cdr="http://schemas.openxmlformats.org/drawingml/2006/chartDrawing">
    <cdr:from>
      <cdr:x>0.74879</cdr:x>
      <cdr:y>0.02259</cdr:y>
    </cdr:from>
    <cdr:to>
      <cdr:x>0.83385</cdr:x>
      <cdr:y>0.09259</cdr:y>
    </cdr:to>
    <cdr:sp macro="" textlink="">
      <cdr:nvSpPr>
        <cdr:cNvPr id="6" name="Rectángulo: esquinas redondeadas 5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EE985151-6974-49AB-8973-687B98E21E89}"/>
            </a:ext>
          </a:extLst>
        </cdr:cNvPr>
        <cdr:cNvSpPr/>
      </cdr:nvSpPr>
      <cdr:spPr>
        <a:xfrm xmlns:a="http://schemas.openxmlformats.org/drawingml/2006/main">
          <a:off x="5387503" y="81334"/>
          <a:ext cx="612000" cy="252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DA0F2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b="1">
              <a:solidFill>
                <a:schemeClr val="tx1"/>
              </a:solidFill>
            </a:rPr>
            <a:t>DATOS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857250</xdr:colOff>
      <xdr:row>4</xdr:row>
      <xdr:rowOff>174621</xdr:rowOff>
    </xdr:to>
    <xdr:pic>
      <xdr:nvPicPr>
        <xdr:cNvPr id="2" name="Imagen 1" descr="Resultado de imagen para nuevo logo alcaldia bogot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19075"/>
          <a:ext cx="2209800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1123950</xdr:colOff>
      <xdr:row>1</xdr:row>
      <xdr:rowOff>66675</xdr:rowOff>
    </xdr:from>
    <xdr:to>
      <xdr:col>9</xdr:col>
      <xdr:colOff>1304925</xdr:colOff>
      <xdr:row>4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95575" y="257175"/>
          <a:ext cx="125158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600" b="1">
              <a:latin typeface="Garamond" panose="02020404030301010803" pitchFamily="18" charset="0"/>
            </a:rPr>
            <a:t>SEGUIMIENTO CONTRATOS FUNCIONAMIENTO - ALCALDÍA LOCAL DE BARRIOS UNIDOS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2</xdr:col>
      <xdr:colOff>857250</xdr:colOff>
      <xdr:row>4</xdr:row>
      <xdr:rowOff>174621</xdr:rowOff>
    </xdr:to>
    <xdr:pic>
      <xdr:nvPicPr>
        <xdr:cNvPr id="2" name="Imagen 1" descr="Resultado de imagen para nuevo logo alcaldia bogot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19075"/>
          <a:ext cx="2209800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1123950</xdr:colOff>
      <xdr:row>1</xdr:row>
      <xdr:rowOff>66675</xdr:rowOff>
    </xdr:from>
    <xdr:to>
      <xdr:col>10</xdr:col>
      <xdr:colOff>1257300</xdr:colOff>
      <xdr:row>4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95575" y="257175"/>
          <a:ext cx="138493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600" b="1">
              <a:latin typeface="Garamond" panose="02020404030301010803" pitchFamily="18" charset="0"/>
            </a:rPr>
            <a:t>SEGUIMIENTO CONTRATOS</a:t>
          </a:r>
          <a:r>
            <a:rPr lang="es-CO" sz="1600" b="1" baseline="0">
              <a:latin typeface="Garamond" panose="02020404030301010803" pitchFamily="18" charset="0"/>
            </a:rPr>
            <a:t> INVERSIÓN</a:t>
          </a:r>
          <a:r>
            <a:rPr lang="es-CO" sz="1600" b="1">
              <a:latin typeface="Garamond" panose="02020404030301010803" pitchFamily="18" charset="0"/>
            </a:rPr>
            <a:t> - ALCALDÍA LOCAL DE BARRIOS UNIDOS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4" name="Imagen 3" descr="Resultado de imagen para nuevo logo alcaldia bogota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3" name="Imagen 2" descr="Resultado de imagen para nuevo logo alcaldia bogota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4" name="Imagen 3" descr="Resultado de imagen para nuevo logo alcaldia bogota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4" name="Imagen 3" descr="Resultado de imagen para nuevo logo alcaldia bogota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4" name="Imagen 3" descr="Resultado de imagen para nuevo logo alcaldia bogota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0.43324</cdr:x>
      <cdr:y>0.37214</cdr:y>
    </cdr:from>
    <cdr:to>
      <cdr:x>0.56676</cdr:x>
      <cdr:y>0.62786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E8093EB8-C6BA-4BB6-AA67-4ECB40ADC5A2}"/>
            </a:ext>
          </a:extLst>
        </cdr:cNvPr>
        <cdr:cNvSpPr txBox="1"/>
      </cdr:nvSpPr>
      <cdr:spPr>
        <a:xfrm xmlns:a="http://schemas.openxmlformats.org/drawingml/2006/main">
          <a:off x="2967038" y="133075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0.34674</cdr:x>
      <cdr:y>0.58341</cdr:y>
    </cdr:from>
    <cdr:to>
      <cdr:x>0.41359</cdr:x>
      <cdr:y>0.67337</cdr:y>
    </cdr:to>
    <cdr:sp macro="" textlink="GRAFICAS!$D$15">
      <cdr:nvSpPr>
        <cdr:cNvPr id="12" name="CuadroTexto 11">
          <a:extLst xmlns:a="http://schemas.openxmlformats.org/drawingml/2006/main">
            <a:ext uri="{FF2B5EF4-FFF2-40B4-BE49-F238E27FC236}">
              <a16:creationId xmlns:a16="http://schemas.microsoft.com/office/drawing/2014/main" id="{B21E2BEF-9715-4BE2-8A61-C5EF195C4555}"/>
            </a:ext>
          </a:extLst>
        </cdr:cNvPr>
        <cdr:cNvSpPr txBox="1"/>
      </cdr:nvSpPr>
      <cdr:spPr>
        <a:xfrm xmlns:a="http://schemas.openxmlformats.org/drawingml/2006/main">
          <a:off x="2371726" y="2100264"/>
          <a:ext cx="4572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DF6475D-9F42-48EE-8B07-71395C43EFD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93%</a:t>
          </a:fld>
          <a:endParaRPr lang="es-CO" sz="1000"/>
        </a:p>
      </cdr:txBody>
    </cdr:sp>
  </cdr:relSizeAnchor>
  <cdr:relSizeAnchor xmlns:cdr="http://schemas.openxmlformats.org/drawingml/2006/chartDrawing">
    <cdr:from>
      <cdr:x>0.48182</cdr:x>
      <cdr:y>0.58341</cdr:y>
    </cdr:from>
    <cdr:to>
      <cdr:x>0.54727</cdr:x>
      <cdr:y>0.65749</cdr:y>
    </cdr:to>
    <cdr:sp macro="" textlink="GRAFICAS!$D$18">
      <cdr:nvSpPr>
        <cdr:cNvPr id="13" name="CuadroTexto 12">
          <a:extLst xmlns:a="http://schemas.openxmlformats.org/drawingml/2006/main">
            <a:ext uri="{FF2B5EF4-FFF2-40B4-BE49-F238E27FC236}">
              <a16:creationId xmlns:a16="http://schemas.microsoft.com/office/drawing/2014/main" id="{0D672E4A-8DAE-4563-8452-515411FD876F}"/>
            </a:ext>
          </a:extLst>
        </cdr:cNvPr>
        <cdr:cNvSpPr txBox="1"/>
      </cdr:nvSpPr>
      <cdr:spPr>
        <a:xfrm xmlns:a="http://schemas.openxmlformats.org/drawingml/2006/main">
          <a:off x="3295651" y="2100264"/>
          <a:ext cx="447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FBC1160-A82A-4BD4-BEE7-3342A4CC3020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100%</a:t>
          </a:fld>
          <a:endParaRPr lang="es-CO" sz="1000"/>
        </a:p>
      </cdr:txBody>
    </cdr:sp>
  </cdr:relSizeAnchor>
  <cdr:relSizeAnchor xmlns:cdr="http://schemas.openxmlformats.org/drawingml/2006/chartDrawing">
    <cdr:from>
      <cdr:x>0.61272</cdr:x>
      <cdr:y>0.58076</cdr:y>
    </cdr:from>
    <cdr:to>
      <cdr:x>0.68931</cdr:x>
      <cdr:y>0.64691</cdr:y>
    </cdr:to>
    <cdr:sp macro="" textlink="GRAFICAS!$D$23">
      <cdr:nvSpPr>
        <cdr:cNvPr id="14" name="CuadroTexto 13">
          <a:extLst xmlns:a="http://schemas.openxmlformats.org/drawingml/2006/main">
            <a:ext uri="{FF2B5EF4-FFF2-40B4-BE49-F238E27FC236}">
              <a16:creationId xmlns:a16="http://schemas.microsoft.com/office/drawing/2014/main" id="{C9157309-DB6C-4D9A-B229-E76E4213F194}"/>
            </a:ext>
          </a:extLst>
        </cdr:cNvPr>
        <cdr:cNvSpPr txBox="1"/>
      </cdr:nvSpPr>
      <cdr:spPr>
        <a:xfrm xmlns:a="http://schemas.openxmlformats.org/drawingml/2006/main">
          <a:off x="4191001" y="2090739"/>
          <a:ext cx="5238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AC99241A-8503-4482-BB47-14E2759757BA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84%</a:t>
          </a:fld>
          <a:endParaRPr lang="es-CO" sz="1000"/>
        </a:p>
      </cdr:txBody>
    </cdr:sp>
  </cdr:relSizeAnchor>
  <cdr:relSizeAnchor xmlns:cdr="http://schemas.openxmlformats.org/drawingml/2006/chartDrawing">
    <cdr:from>
      <cdr:x>0.71041</cdr:x>
      <cdr:y>0.01984</cdr:y>
    </cdr:from>
    <cdr:to>
      <cdr:x>0.79541</cdr:x>
      <cdr:y>0.08984</cdr:y>
    </cdr:to>
    <cdr:sp macro="" textlink="">
      <cdr:nvSpPr>
        <cdr:cNvPr id="2" name="Rectángulo: esquinas redondeadas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2C871E1B-7C2B-422E-9A25-93E1B6809550}"/>
            </a:ext>
          </a:extLst>
        </cdr:cNvPr>
        <cdr:cNvSpPr/>
      </cdr:nvSpPr>
      <cdr:spPr>
        <a:xfrm xmlns:a="http://schemas.openxmlformats.org/drawingml/2006/main">
          <a:off x="5114926" y="71439"/>
          <a:ext cx="612000" cy="252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DA0F2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b="1">
              <a:solidFill>
                <a:schemeClr val="tx1"/>
              </a:solidFill>
            </a:rPr>
            <a:t>DATOS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4" name="Imagen 3" descr="Resultado de imagen para nuevo logo alcaldia bogota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3" name="Imagen 2" descr="Resultado de imagen para nuevo logo alcaldia bogota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5" name="Imagen 4" descr="Resultado de imagen para nuevo logo alcaldia bogota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2" name="Imagen 1" descr="Resultado de imagen para nuevo logo alcaldia bogota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4" name="Imagen 3" descr="Resultado de imagen para nuevo logo alcaldia bogota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4" name="Imagen 3" descr="Resultado de imagen para nuevo logo alcaldia bogota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4" name="Imagen 3" descr="Resultado de imagen para nuevo logo alcaldia bogota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2" name="Imagen 1" descr="Resultado de imagen para nuevo logo alcaldia bogota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2</xdr:row>
      <xdr:rowOff>28575</xdr:rowOff>
    </xdr:from>
    <xdr:to>
      <xdr:col>4</xdr:col>
      <xdr:colOff>962025</xdr:colOff>
      <xdr:row>5</xdr:row>
      <xdr:rowOff>174621</xdr:rowOff>
    </xdr:to>
    <xdr:pic>
      <xdr:nvPicPr>
        <xdr:cNvPr id="2" name="Imagen 1" descr="Resultado de imagen para nuevo logo alcaldia bogota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09575"/>
          <a:ext cx="2219325" cy="717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0.33282</cdr:x>
      <cdr:y>0.56489</cdr:y>
    </cdr:from>
    <cdr:to>
      <cdr:x>0.41637</cdr:x>
      <cdr:y>0.62839</cdr:y>
    </cdr:to>
    <cdr:sp macro="" textlink="GRAFICAS!$D$79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3952D10-1EFF-45BC-B93B-A791D6A85C57}"/>
            </a:ext>
          </a:extLst>
        </cdr:cNvPr>
        <cdr:cNvSpPr txBox="1"/>
      </cdr:nvSpPr>
      <cdr:spPr>
        <a:xfrm xmlns:a="http://schemas.openxmlformats.org/drawingml/2006/main">
          <a:off x="2276475" y="2033588"/>
          <a:ext cx="5715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CE54B57-B5D4-4C8A-A009-E0536C470840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100%</a:t>
          </a:fld>
          <a:endParaRPr lang="es-CO" sz="1000"/>
        </a:p>
      </cdr:txBody>
    </cdr:sp>
  </cdr:relSizeAnchor>
  <cdr:relSizeAnchor xmlns:cdr="http://schemas.openxmlformats.org/drawingml/2006/chartDrawing">
    <cdr:from>
      <cdr:x>0.45536</cdr:x>
      <cdr:y>0.57547</cdr:y>
    </cdr:from>
    <cdr:to>
      <cdr:x>0.54448</cdr:x>
      <cdr:y>0.62839</cdr:y>
    </cdr:to>
    <cdr:sp macro="" textlink="GRAFICAS!$D$82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A5A8BD24-C71C-4ED9-A8D1-57C6092CF704}"/>
            </a:ext>
          </a:extLst>
        </cdr:cNvPr>
        <cdr:cNvSpPr txBox="1"/>
      </cdr:nvSpPr>
      <cdr:spPr>
        <a:xfrm xmlns:a="http://schemas.openxmlformats.org/drawingml/2006/main">
          <a:off x="3114676" y="2071689"/>
          <a:ext cx="6096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48495B8A-1A37-4D18-B1A0-5F2B5DD932C4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90%</a:t>
          </a:fld>
          <a:endParaRPr lang="es-CO" sz="1000"/>
        </a:p>
      </cdr:txBody>
    </cdr:sp>
  </cdr:relSizeAnchor>
  <cdr:relSizeAnchor xmlns:cdr="http://schemas.openxmlformats.org/drawingml/2006/chartDrawing">
    <cdr:from>
      <cdr:x>0.60158</cdr:x>
      <cdr:y>0.55695</cdr:y>
    </cdr:from>
    <cdr:to>
      <cdr:x>0.66564</cdr:x>
      <cdr:y>0.64426</cdr:y>
    </cdr:to>
    <cdr:sp macro="" textlink="GRAFICAS!$D$87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83A45CB9-4FD4-45CC-9877-71D482925F37}"/>
            </a:ext>
          </a:extLst>
        </cdr:cNvPr>
        <cdr:cNvSpPr txBox="1"/>
      </cdr:nvSpPr>
      <cdr:spPr>
        <a:xfrm xmlns:a="http://schemas.openxmlformats.org/drawingml/2006/main">
          <a:off x="4114800" y="2005013"/>
          <a:ext cx="4381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A4A1D8CB-49A9-46FA-9B92-3A4C1C8A7DD8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100%</a:t>
          </a:fld>
          <a:endParaRPr lang="es-CO" sz="800"/>
        </a:p>
      </cdr:txBody>
    </cdr:sp>
  </cdr:relSizeAnchor>
  <cdr:relSizeAnchor xmlns:cdr="http://schemas.openxmlformats.org/drawingml/2006/chartDrawing">
    <cdr:from>
      <cdr:x>0.74594</cdr:x>
      <cdr:y>0.02778</cdr:y>
    </cdr:from>
    <cdr:to>
      <cdr:x>0.83094</cdr:x>
      <cdr:y>0.09778</cdr:y>
    </cdr:to>
    <cdr:sp macro="" textlink="">
      <cdr:nvSpPr>
        <cdr:cNvPr id="5" name="Rectángulo: esquinas redondeadas 4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CCED4A70-50C1-4E45-8607-4AAB2A77D91B}"/>
            </a:ext>
          </a:extLst>
        </cdr:cNvPr>
        <cdr:cNvSpPr/>
      </cdr:nvSpPr>
      <cdr:spPr>
        <a:xfrm xmlns:a="http://schemas.openxmlformats.org/drawingml/2006/main">
          <a:off x="5370738" y="100014"/>
          <a:ext cx="612000" cy="252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DA0F2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b="1">
              <a:solidFill>
                <a:schemeClr val="tx1"/>
              </a:solidFill>
            </a:rPr>
            <a:t>DATOS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0.34187</cdr:x>
      <cdr:y>0.55959</cdr:y>
    </cdr:from>
    <cdr:to>
      <cdr:x>0.40175</cdr:x>
      <cdr:y>0.62574</cdr:y>
    </cdr:to>
    <cdr:sp macro="" textlink="GRAFICAS!$D$111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C3C2227-E679-4F8D-BE4E-9C439ABCC55A}"/>
            </a:ext>
          </a:extLst>
        </cdr:cNvPr>
        <cdr:cNvSpPr txBox="1"/>
      </cdr:nvSpPr>
      <cdr:spPr>
        <a:xfrm xmlns:a="http://schemas.openxmlformats.org/drawingml/2006/main">
          <a:off x="2338388" y="2014538"/>
          <a:ext cx="4095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8D09BA0A-595A-4C04-8504-E3F272FA3EAA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55,22%</a:t>
          </a:fld>
          <a:endParaRPr lang="es-CO" sz="1000"/>
        </a:p>
      </cdr:txBody>
    </cdr:sp>
  </cdr:relSizeAnchor>
  <cdr:relSizeAnchor xmlns:cdr="http://schemas.openxmlformats.org/drawingml/2006/chartDrawing">
    <cdr:from>
      <cdr:x>0.4672</cdr:x>
      <cdr:y>0.56224</cdr:y>
    </cdr:from>
    <cdr:to>
      <cdr:x>0.541</cdr:x>
      <cdr:y>0.62839</cdr:y>
    </cdr:to>
    <cdr:sp macro="" textlink="GRAFICAS!$D$114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345B2A8E-1C1C-4EC6-984E-91D7D6568052}"/>
            </a:ext>
          </a:extLst>
        </cdr:cNvPr>
        <cdr:cNvSpPr txBox="1"/>
      </cdr:nvSpPr>
      <cdr:spPr>
        <a:xfrm xmlns:a="http://schemas.openxmlformats.org/drawingml/2006/main">
          <a:off x="3195638" y="2024063"/>
          <a:ext cx="5048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D5C21848-70EC-4208-8AC4-D68EEE6C8744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50,68%</a:t>
          </a:fld>
          <a:endParaRPr lang="es-CO" sz="1000"/>
        </a:p>
      </cdr:txBody>
    </cdr:sp>
  </cdr:relSizeAnchor>
  <cdr:relSizeAnchor xmlns:cdr="http://schemas.openxmlformats.org/drawingml/2006/chartDrawing">
    <cdr:from>
      <cdr:x>0.59531</cdr:x>
      <cdr:y>0.56753</cdr:y>
    </cdr:from>
    <cdr:to>
      <cdr:x>0.68444</cdr:x>
      <cdr:y>0.62045</cdr:y>
    </cdr:to>
    <cdr:sp macro="" textlink="GRAFICAS!$D$119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E1115241-F159-410C-958D-B0C536193AEE}"/>
            </a:ext>
          </a:extLst>
        </cdr:cNvPr>
        <cdr:cNvSpPr txBox="1"/>
      </cdr:nvSpPr>
      <cdr:spPr>
        <a:xfrm xmlns:a="http://schemas.openxmlformats.org/drawingml/2006/main">
          <a:off x="4071939" y="2043113"/>
          <a:ext cx="6096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CD02FF29-DB6C-417B-A3B9-DD1BAD675811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94%</a:t>
          </a:fld>
          <a:endParaRPr lang="es-CO" sz="1000"/>
        </a:p>
      </cdr:txBody>
    </cdr:sp>
  </cdr:relSizeAnchor>
  <cdr:relSizeAnchor xmlns:cdr="http://schemas.openxmlformats.org/drawingml/2006/chartDrawing">
    <cdr:from>
      <cdr:x>0.74282</cdr:x>
      <cdr:y>0.02249</cdr:y>
    </cdr:from>
    <cdr:to>
      <cdr:x>0.82782</cdr:x>
      <cdr:y>0.09249</cdr:y>
    </cdr:to>
    <cdr:sp macro="" textlink="">
      <cdr:nvSpPr>
        <cdr:cNvPr id="5" name="Rectángulo: esquinas redondeadas 4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EBABDA95-CAE3-48BD-A3A1-C3002A9EC53A}"/>
            </a:ext>
          </a:extLst>
        </cdr:cNvPr>
        <cdr:cNvSpPr/>
      </cdr:nvSpPr>
      <cdr:spPr>
        <a:xfrm xmlns:a="http://schemas.openxmlformats.org/drawingml/2006/main">
          <a:off x="5348288" y="80963"/>
          <a:ext cx="612000" cy="252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DA0F2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CO" b="1">
              <a:solidFill>
                <a:schemeClr val="tx1"/>
              </a:solidFill>
            </a:rPr>
            <a:t>DATOS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0.33978</cdr:x>
      <cdr:y>0.57547</cdr:y>
    </cdr:from>
    <cdr:to>
      <cdr:x>0.40523</cdr:x>
      <cdr:y>0.65484</cdr:y>
    </cdr:to>
    <cdr:sp macro="" textlink="GRAFICAS!$D$143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4E5F4A7-ED89-45C1-A577-A8A218C32343}"/>
            </a:ext>
          </a:extLst>
        </cdr:cNvPr>
        <cdr:cNvSpPr txBox="1"/>
      </cdr:nvSpPr>
      <cdr:spPr>
        <a:xfrm xmlns:a="http://schemas.openxmlformats.org/drawingml/2006/main">
          <a:off x="2324100" y="2071688"/>
          <a:ext cx="4476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B8210F6C-D1D5-470F-8362-D6E66F01F52B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84,30%</a:t>
          </a:fld>
          <a:endParaRPr lang="es-CO" sz="1000"/>
        </a:p>
      </cdr:txBody>
    </cdr:sp>
  </cdr:relSizeAnchor>
  <cdr:relSizeAnchor xmlns:cdr="http://schemas.openxmlformats.org/drawingml/2006/chartDrawing">
    <cdr:from>
      <cdr:x>0.47764</cdr:x>
      <cdr:y>0.58076</cdr:y>
    </cdr:from>
    <cdr:to>
      <cdr:x>0.58765</cdr:x>
      <cdr:y>0.67601</cdr:y>
    </cdr:to>
    <cdr:sp macro="" textlink="GRAFICAS!$D$146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6CE35587-B369-4376-B1AE-A799B1D8BE5C}"/>
            </a:ext>
          </a:extLst>
        </cdr:cNvPr>
        <cdr:cNvSpPr txBox="1"/>
      </cdr:nvSpPr>
      <cdr:spPr>
        <a:xfrm xmlns:a="http://schemas.openxmlformats.org/drawingml/2006/main">
          <a:off x="3267075" y="2090738"/>
          <a:ext cx="7524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B98040A-577D-4851-ACAC-9F5E059A3116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72,56%</a:t>
          </a:fld>
          <a:endParaRPr lang="es-CO" sz="1000"/>
        </a:p>
      </cdr:txBody>
    </cdr:sp>
  </cdr:relSizeAnchor>
  <cdr:relSizeAnchor xmlns:cdr="http://schemas.openxmlformats.org/drawingml/2006/chartDrawing">
    <cdr:from>
      <cdr:x>0.60158</cdr:x>
      <cdr:y>0.58076</cdr:y>
    </cdr:from>
    <cdr:to>
      <cdr:x>0.68792</cdr:x>
      <cdr:y>0.64426</cdr:y>
    </cdr:to>
    <cdr:sp macro="" textlink="GRAFICAS!$D$151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0B2D9ADD-CA31-4603-99E5-6FE99B4EB757}"/>
            </a:ext>
          </a:extLst>
        </cdr:cNvPr>
        <cdr:cNvSpPr txBox="1"/>
      </cdr:nvSpPr>
      <cdr:spPr>
        <a:xfrm xmlns:a="http://schemas.openxmlformats.org/drawingml/2006/main">
          <a:off x="4114800" y="2090738"/>
          <a:ext cx="5905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85C5682D-859F-4B41-BBDB-54FCCFAA5D9A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CO" sz="1000"/>
        </a:p>
      </cdr:txBody>
    </cdr:sp>
  </cdr:relSizeAnchor>
  <cdr:relSizeAnchor xmlns:cdr="http://schemas.openxmlformats.org/drawingml/2006/chartDrawing">
    <cdr:from>
      <cdr:x>0.71173</cdr:x>
      <cdr:y>0.02249</cdr:y>
    </cdr:from>
    <cdr:to>
      <cdr:x>0.79673</cdr:x>
      <cdr:y>0.09249</cdr:y>
    </cdr:to>
    <cdr:sp macro="" textlink="">
      <cdr:nvSpPr>
        <cdr:cNvPr id="5" name="Rectángulo: esquinas redondeadas 4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B35DF31A-3885-437E-BE1B-30D1F6D849FE}"/>
            </a:ext>
          </a:extLst>
        </cdr:cNvPr>
        <cdr:cNvSpPr/>
      </cdr:nvSpPr>
      <cdr:spPr>
        <a:xfrm xmlns:a="http://schemas.openxmlformats.org/drawingml/2006/main">
          <a:off x="5124447" y="80963"/>
          <a:ext cx="612000" cy="252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DA0F2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b="1">
              <a:solidFill>
                <a:schemeClr val="tx1"/>
              </a:solidFill>
            </a:rPr>
            <a:t>DATOS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0.34117</cdr:x>
      <cdr:y>0.54372</cdr:y>
    </cdr:from>
    <cdr:to>
      <cdr:x>0.40399</cdr:x>
      <cdr:y>0.64691</cdr:y>
    </cdr:to>
    <cdr:sp macro="" textlink="GRAFICAS!$D$175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5288FB07-48F8-490E-BB3E-B07AA042DC5A}"/>
            </a:ext>
          </a:extLst>
        </cdr:cNvPr>
        <cdr:cNvSpPr txBox="1"/>
      </cdr:nvSpPr>
      <cdr:spPr>
        <a:xfrm xmlns:a="http://schemas.openxmlformats.org/drawingml/2006/main">
          <a:off x="2333624" y="1957388"/>
          <a:ext cx="4296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AF20BDB0-1F18-42BE-868B-425A41324BA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39%</a:t>
          </a:fld>
          <a:endParaRPr lang="es-CO" sz="1000"/>
        </a:p>
      </cdr:txBody>
    </cdr:sp>
  </cdr:relSizeAnchor>
  <cdr:relSizeAnchor xmlns:cdr="http://schemas.openxmlformats.org/drawingml/2006/chartDrawing">
    <cdr:from>
      <cdr:x>0.46789</cdr:x>
      <cdr:y>0.55695</cdr:y>
    </cdr:from>
    <cdr:to>
      <cdr:x>0.54325</cdr:x>
      <cdr:y>0.63632</cdr:y>
    </cdr:to>
    <cdr:sp macro="" textlink="GRAFICAS!$D$178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50A68783-92C7-4BEE-A135-309277162860}"/>
            </a:ext>
          </a:extLst>
        </cdr:cNvPr>
        <cdr:cNvSpPr txBox="1"/>
      </cdr:nvSpPr>
      <cdr:spPr>
        <a:xfrm xmlns:a="http://schemas.openxmlformats.org/drawingml/2006/main">
          <a:off x="3200400" y="2005013"/>
          <a:ext cx="515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7B75A07D-129B-4E17-8964-93F736CC2930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80%</a:t>
          </a:fld>
          <a:endParaRPr lang="es-CO" sz="1000"/>
        </a:p>
      </cdr:txBody>
    </cdr:sp>
  </cdr:relSizeAnchor>
  <cdr:relSizeAnchor xmlns:cdr="http://schemas.openxmlformats.org/drawingml/2006/chartDrawing">
    <cdr:from>
      <cdr:x>0.43316</cdr:x>
      <cdr:y>0.373</cdr:y>
    </cdr:from>
    <cdr:to>
      <cdr:x>0.56684</cdr:x>
      <cdr:y>0.627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1E21014F-1510-4539-BF2C-520DB06899A0}"/>
            </a:ext>
          </a:extLst>
        </cdr:cNvPr>
        <cdr:cNvSpPr txBox="1"/>
      </cdr:nvSpPr>
      <cdr:spPr>
        <a:xfrm xmlns:a="http://schemas.openxmlformats.org/drawingml/2006/main">
          <a:off x="2962800" y="1342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0.61133</cdr:x>
      <cdr:y>0.56753</cdr:y>
    </cdr:from>
    <cdr:to>
      <cdr:x>0.67538</cdr:x>
      <cdr:y>0.62574</cdr:y>
    </cdr:to>
    <cdr:sp macro="" textlink="GRAFICAS!$D$183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CE74E7E6-2B04-4000-B4AC-BCE2A0A178B6}"/>
            </a:ext>
          </a:extLst>
        </cdr:cNvPr>
        <cdr:cNvSpPr txBox="1"/>
      </cdr:nvSpPr>
      <cdr:spPr>
        <a:xfrm xmlns:a="http://schemas.openxmlformats.org/drawingml/2006/main">
          <a:off x="4181476" y="2043114"/>
          <a:ext cx="438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5F657FB0-9284-412E-884E-867F3D0934C2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100%</a:t>
          </a:fld>
          <a:endParaRPr lang="es-CO" sz="1000"/>
        </a:p>
      </cdr:txBody>
    </cdr:sp>
  </cdr:relSizeAnchor>
  <cdr:relSizeAnchor xmlns:cdr="http://schemas.openxmlformats.org/drawingml/2006/chartDrawing">
    <cdr:from>
      <cdr:x>0.74216</cdr:x>
      <cdr:y>0.03043</cdr:y>
    </cdr:from>
    <cdr:to>
      <cdr:x>0.82716</cdr:x>
      <cdr:y>0.10043</cdr:y>
    </cdr:to>
    <cdr:sp macro="" textlink="">
      <cdr:nvSpPr>
        <cdr:cNvPr id="6" name="Rectángulo: esquinas redondeadas 5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AAF1F8AF-1DC6-4E7C-86DE-C08F12D6880B}"/>
            </a:ext>
          </a:extLst>
        </cdr:cNvPr>
        <cdr:cNvSpPr/>
      </cdr:nvSpPr>
      <cdr:spPr>
        <a:xfrm xmlns:a="http://schemas.openxmlformats.org/drawingml/2006/main">
          <a:off x="5343526" y="109538"/>
          <a:ext cx="612000" cy="252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DA0F2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b="1">
              <a:solidFill>
                <a:schemeClr val="tx1"/>
              </a:solidFill>
            </a:rPr>
            <a:t>DATOS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0.32307</cdr:x>
      <cdr:y>0.55959</cdr:y>
    </cdr:from>
    <cdr:to>
      <cdr:x>0.41498</cdr:x>
      <cdr:y>0.64426</cdr:y>
    </cdr:to>
    <cdr:sp macro="" textlink="GRAFICAS!$D$207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FF459EE-A6CD-4958-81DF-DEF7C9D8ED97}"/>
            </a:ext>
          </a:extLst>
        </cdr:cNvPr>
        <cdr:cNvSpPr txBox="1"/>
      </cdr:nvSpPr>
      <cdr:spPr>
        <a:xfrm xmlns:a="http://schemas.openxmlformats.org/drawingml/2006/main">
          <a:off x="2209800" y="2014538"/>
          <a:ext cx="628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2048BE4A-11ED-4E47-B97C-556F27E99C59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128%</a:t>
          </a:fld>
          <a:endParaRPr lang="es-CO" sz="1000"/>
        </a:p>
      </cdr:txBody>
    </cdr:sp>
  </cdr:relSizeAnchor>
  <cdr:relSizeAnchor xmlns:cdr="http://schemas.openxmlformats.org/drawingml/2006/chartDrawing">
    <cdr:from>
      <cdr:x>0.3175</cdr:x>
      <cdr:y>0.60457</cdr:y>
    </cdr:from>
    <cdr:to>
      <cdr:x>0.42473</cdr:x>
      <cdr:y>0.71834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40B45599-C6F1-4E88-A195-AA335713B250}"/>
            </a:ext>
          </a:extLst>
        </cdr:cNvPr>
        <cdr:cNvSpPr txBox="1"/>
      </cdr:nvSpPr>
      <cdr:spPr>
        <a:xfrm xmlns:a="http://schemas.openxmlformats.org/drawingml/2006/main">
          <a:off x="2171700" y="2176463"/>
          <a:ext cx="7334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0.46511</cdr:x>
      <cdr:y>0.56224</cdr:y>
    </cdr:from>
    <cdr:to>
      <cdr:x>0.54448</cdr:x>
      <cdr:y>0.63897</cdr:y>
    </cdr:to>
    <cdr:sp macro="" textlink="GRAFICAS!$D$210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8FA54A2B-9BE9-4D9E-9327-D662A70B8F58}"/>
            </a:ext>
          </a:extLst>
        </cdr:cNvPr>
        <cdr:cNvSpPr txBox="1"/>
      </cdr:nvSpPr>
      <cdr:spPr>
        <a:xfrm xmlns:a="http://schemas.openxmlformats.org/drawingml/2006/main">
          <a:off x="3181350" y="2024062"/>
          <a:ext cx="5429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D2BBB6B8-81AA-48B5-A56C-908C68E39B4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95%</a:t>
          </a:fld>
          <a:endParaRPr lang="es-CO" sz="1000"/>
        </a:p>
      </cdr:txBody>
    </cdr:sp>
  </cdr:relSizeAnchor>
  <cdr:relSizeAnchor xmlns:cdr="http://schemas.openxmlformats.org/drawingml/2006/chartDrawing">
    <cdr:from>
      <cdr:x>0.59462</cdr:x>
      <cdr:y>0.5543</cdr:y>
    </cdr:from>
    <cdr:to>
      <cdr:x>0.68513</cdr:x>
      <cdr:y>0.64955</cdr:y>
    </cdr:to>
    <cdr:sp macro="" textlink="GRAFICAS!$D$21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5300F5BD-054F-4DD9-A763-DAE5A21C3A41}"/>
            </a:ext>
          </a:extLst>
        </cdr:cNvPr>
        <cdr:cNvSpPr txBox="1"/>
      </cdr:nvSpPr>
      <cdr:spPr>
        <a:xfrm xmlns:a="http://schemas.openxmlformats.org/drawingml/2006/main">
          <a:off x="4067175" y="1995488"/>
          <a:ext cx="6191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145BDAD0-6D59-410D-9522-DA28A36983B9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100%</a:t>
          </a:fld>
          <a:endParaRPr lang="es-CO" sz="1000"/>
        </a:p>
      </cdr:txBody>
    </cdr:sp>
  </cdr:relSizeAnchor>
  <cdr:relSizeAnchor xmlns:cdr="http://schemas.openxmlformats.org/drawingml/2006/chartDrawing">
    <cdr:from>
      <cdr:x>0.73757</cdr:x>
      <cdr:y>0.02226</cdr:y>
    </cdr:from>
    <cdr:to>
      <cdr:x>0.82269</cdr:x>
      <cdr:y>0.09226</cdr:y>
    </cdr:to>
    <cdr:sp macro="" textlink="">
      <cdr:nvSpPr>
        <cdr:cNvPr id="6" name="Rectángulo: esquinas redondeadas 5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F01D1BDE-2A02-4DDA-856E-4846F721AE81}"/>
            </a:ext>
          </a:extLst>
        </cdr:cNvPr>
        <cdr:cNvSpPr/>
      </cdr:nvSpPr>
      <cdr:spPr>
        <a:xfrm xmlns:a="http://schemas.openxmlformats.org/drawingml/2006/main">
          <a:off x="5302645" y="80134"/>
          <a:ext cx="612000" cy="252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DA0F2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b="1">
              <a:solidFill>
                <a:schemeClr val="tx1"/>
              </a:solidFill>
            </a:rPr>
            <a:t>DATOS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0.33978</cdr:x>
      <cdr:y>0.55959</cdr:y>
    </cdr:from>
    <cdr:to>
      <cdr:x>0.42473</cdr:x>
      <cdr:y>0.69189</cdr:y>
    </cdr:to>
    <cdr:sp macro="" textlink="GRAFICAS!$D$239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9ADA2A3-CA9C-4F0A-93ED-38D78E0D4CCA}"/>
            </a:ext>
          </a:extLst>
        </cdr:cNvPr>
        <cdr:cNvSpPr txBox="1"/>
      </cdr:nvSpPr>
      <cdr:spPr>
        <a:xfrm xmlns:a="http://schemas.openxmlformats.org/drawingml/2006/main">
          <a:off x="2324101" y="2014539"/>
          <a:ext cx="58102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550CA36-EB57-4789-BEBB-F7A9D8B57DF6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98%</a:t>
          </a:fld>
          <a:endParaRPr lang="es-CO" sz="1000"/>
        </a:p>
      </cdr:txBody>
    </cdr:sp>
  </cdr:relSizeAnchor>
  <cdr:relSizeAnchor xmlns:cdr="http://schemas.openxmlformats.org/drawingml/2006/chartDrawing">
    <cdr:from>
      <cdr:x>0.47486</cdr:x>
      <cdr:y>0.55959</cdr:y>
    </cdr:from>
    <cdr:to>
      <cdr:x>0.54727</cdr:x>
      <cdr:y>0.63368</cdr:y>
    </cdr:to>
    <cdr:sp macro="" textlink="GRAFICAS!$D$242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F204E1F9-DB8B-43C2-9034-13EC74141C04}"/>
            </a:ext>
          </a:extLst>
        </cdr:cNvPr>
        <cdr:cNvSpPr txBox="1"/>
      </cdr:nvSpPr>
      <cdr:spPr>
        <a:xfrm xmlns:a="http://schemas.openxmlformats.org/drawingml/2006/main">
          <a:off x="3248027" y="2014539"/>
          <a:ext cx="4953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F58A5FD4-2ED6-4534-A641-C21DDDCB3A47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76%</a:t>
          </a:fld>
          <a:endParaRPr lang="es-CO" sz="1000"/>
        </a:p>
      </cdr:txBody>
    </cdr:sp>
  </cdr:relSizeAnchor>
  <cdr:relSizeAnchor xmlns:cdr="http://schemas.openxmlformats.org/drawingml/2006/chartDrawing">
    <cdr:from>
      <cdr:x>0.61133</cdr:x>
      <cdr:y>0.55959</cdr:y>
    </cdr:from>
    <cdr:to>
      <cdr:x>0.70184</cdr:x>
      <cdr:y>0.66014</cdr:y>
    </cdr:to>
    <cdr:sp macro="" textlink="GRAFICAS!$D$247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F3A2D0C6-380B-49AC-B4B5-CCB58610347A}"/>
            </a:ext>
          </a:extLst>
        </cdr:cNvPr>
        <cdr:cNvSpPr txBox="1"/>
      </cdr:nvSpPr>
      <cdr:spPr>
        <a:xfrm xmlns:a="http://schemas.openxmlformats.org/drawingml/2006/main">
          <a:off x="4181477" y="2014539"/>
          <a:ext cx="6191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E5863AD3-E3A9-4F07-B9CD-9CB6D7439A82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100%</a:t>
          </a:fld>
          <a:endParaRPr lang="es-CO" sz="1000"/>
        </a:p>
      </cdr:txBody>
    </cdr:sp>
  </cdr:relSizeAnchor>
  <cdr:relSizeAnchor xmlns:cdr="http://schemas.openxmlformats.org/drawingml/2006/chartDrawing">
    <cdr:from>
      <cdr:x>0.74646</cdr:x>
      <cdr:y>0.01984</cdr:y>
    </cdr:from>
    <cdr:to>
      <cdr:x>0.83152</cdr:x>
      <cdr:y>0.08984</cdr:y>
    </cdr:to>
    <cdr:sp macro="" textlink="">
      <cdr:nvSpPr>
        <cdr:cNvPr id="5" name="Rectángulo: esquinas redondeadas 4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D9495660-2F48-441D-BAE1-31BFEDE4929A}"/>
            </a:ext>
          </a:extLst>
        </cdr:cNvPr>
        <cdr:cNvSpPr/>
      </cdr:nvSpPr>
      <cdr:spPr>
        <a:xfrm xmlns:a="http://schemas.openxmlformats.org/drawingml/2006/main">
          <a:off x="5370743" y="71439"/>
          <a:ext cx="612000" cy="252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DA0F2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CO" b="1">
              <a:solidFill>
                <a:schemeClr val="tx1"/>
              </a:solidFill>
            </a:rPr>
            <a:t>DATOS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0.33978</cdr:x>
      <cdr:y>0.55959</cdr:y>
    </cdr:from>
    <cdr:to>
      <cdr:x>0.4303</cdr:x>
      <cdr:y>0.72628</cdr:y>
    </cdr:to>
    <cdr:sp macro="" textlink="GRAFICAS!$D$271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AA2EC844-25D1-4C80-8C5C-9CC227F6A97A}"/>
            </a:ext>
          </a:extLst>
        </cdr:cNvPr>
        <cdr:cNvSpPr txBox="1"/>
      </cdr:nvSpPr>
      <cdr:spPr>
        <a:xfrm xmlns:a="http://schemas.openxmlformats.org/drawingml/2006/main">
          <a:off x="2440895" y="2014524"/>
          <a:ext cx="650273" cy="600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4F8B8AF-2D6A-49EA-8BB9-14B62564B8BC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67%</a:t>
          </a:fld>
          <a:endParaRPr lang="es-CO" sz="1000"/>
        </a:p>
      </cdr:txBody>
    </cdr:sp>
  </cdr:relSizeAnchor>
  <cdr:relSizeAnchor xmlns:cdr="http://schemas.openxmlformats.org/drawingml/2006/chartDrawing">
    <cdr:from>
      <cdr:x>0.47346</cdr:x>
      <cdr:y>0.55959</cdr:y>
    </cdr:from>
    <cdr:to>
      <cdr:x>0.58487</cdr:x>
      <cdr:y>0.66014</cdr:y>
    </cdr:to>
    <cdr:sp macro="" textlink="GRAFICAS!$D$274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4D77B8B4-DC1D-4DE6-B0B4-9DCFE51EB1C8}"/>
            </a:ext>
          </a:extLst>
        </cdr:cNvPr>
        <cdr:cNvSpPr txBox="1"/>
      </cdr:nvSpPr>
      <cdr:spPr>
        <a:xfrm xmlns:a="http://schemas.openxmlformats.org/drawingml/2006/main">
          <a:off x="3238500" y="2014538"/>
          <a:ext cx="7620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431D52E-5EA0-4CB8-B44B-32BB6BB1DBC9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60%</a:t>
          </a:fld>
          <a:endParaRPr lang="es-CO" sz="1000"/>
        </a:p>
      </cdr:txBody>
    </cdr:sp>
  </cdr:relSizeAnchor>
  <cdr:relSizeAnchor xmlns:cdr="http://schemas.openxmlformats.org/drawingml/2006/chartDrawing">
    <cdr:from>
      <cdr:x>0.61133</cdr:x>
      <cdr:y>0.55959</cdr:y>
    </cdr:from>
    <cdr:to>
      <cdr:x>0.67956</cdr:x>
      <cdr:y>0.64426</cdr:y>
    </cdr:to>
    <cdr:sp macro="" textlink="GRAFICAS!$D$279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BD953E00-6539-43CB-9E45-CB3E5D568F41}"/>
            </a:ext>
          </a:extLst>
        </cdr:cNvPr>
        <cdr:cNvSpPr txBox="1"/>
      </cdr:nvSpPr>
      <cdr:spPr>
        <a:xfrm xmlns:a="http://schemas.openxmlformats.org/drawingml/2006/main">
          <a:off x="4181475" y="2014538"/>
          <a:ext cx="4667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8DDE75F-84AF-47C6-8B37-2F2918ACF5A5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100%</a:t>
          </a:fld>
          <a:endParaRPr lang="es-CO" sz="1000"/>
        </a:p>
      </cdr:txBody>
    </cdr:sp>
  </cdr:relSizeAnchor>
  <cdr:relSizeAnchor xmlns:cdr="http://schemas.openxmlformats.org/drawingml/2006/chartDrawing">
    <cdr:from>
      <cdr:x>0.73368</cdr:x>
      <cdr:y>0.02721</cdr:y>
    </cdr:from>
    <cdr:to>
      <cdr:x>0.81887</cdr:x>
      <cdr:y>0.09721</cdr:y>
    </cdr:to>
    <cdr:sp macro="" textlink="">
      <cdr:nvSpPr>
        <cdr:cNvPr id="5" name="Rectángulo: esquinas redondeadas 4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178D21EE-421F-4222-B0E7-AEDA0B1ABA0E}"/>
            </a:ext>
          </a:extLst>
        </cdr:cNvPr>
        <cdr:cNvSpPr/>
      </cdr:nvSpPr>
      <cdr:spPr>
        <a:xfrm xmlns:a="http://schemas.openxmlformats.org/drawingml/2006/main">
          <a:off x="5270578" y="97942"/>
          <a:ext cx="612000" cy="2520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DA0F2C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CO" b="1">
              <a:solidFill>
                <a:schemeClr val="tx1"/>
              </a:solidFill>
            </a:rPr>
            <a:t>DATOS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DA0F2C"/>
  </sheetPr>
  <dimension ref="B2:W391"/>
  <sheetViews>
    <sheetView showGridLines="0" showRowColHeaders="0" tabSelected="1" topLeftCell="G1" zoomScaleNormal="100" workbookViewId="0">
      <pane xSplit="1" ySplit="5" topLeftCell="H6" activePane="bottomRight" state="frozen"/>
      <selection activeCell="G1" sqref="G1"/>
      <selection pane="topRight" activeCell="H1" sqref="H1"/>
      <selection pane="bottomLeft" activeCell="G6" sqref="G6"/>
      <selection pane="bottomRight" activeCell="O83" sqref="O83"/>
    </sheetView>
  </sheetViews>
  <sheetFormatPr baseColWidth="10" defaultRowHeight="15"/>
  <cols>
    <col min="1" max="2" width="2.85546875" customWidth="1"/>
    <col min="3" max="3" width="26.85546875" customWidth="1"/>
    <col min="4" max="4" width="16.7109375" customWidth="1"/>
    <col min="5" max="5" width="27.140625" customWidth="1"/>
    <col min="6" max="6" width="19.42578125" customWidth="1"/>
    <col min="7" max="8" width="2.85546875" customWidth="1"/>
    <col min="9" max="9" width="10.42578125" customWidth="1"/>
    <col min="13" max="13" width="11.85546875" bestFit="1" customWidth="1"/>
    <col min="21" max="21" width="2.85546875" customWidth="1"/>
    <col min="22" max="22" width="11.140625" bestFit="1" customWidth="1"/>
  </cols>
  <sheetData>
    <row r="2" spans="2:21">
      <c r="H2" s="326"/>
      <c r="I2" s="326"/>
      <c r="J2" s="326"/>
      <c r="K2" s="326"/>
      <c r="L2" s="328" t="s">
        <v>153</v>
      </c>
      <c r="M2" s="328"/>
      <c r="N2" s="328"/>
      <c r="O2" s="328"/>
      <c r="P2" s="328"/>
      <c r="Q2" s="328"/>
      <c r="R2" s="328"/>
      <c r="S2" s="328"/>
      <c r="T2" s="328"/>
      <c r="U2" s="328"/>
    </row>
    <row r="3" spans="2:21">
      <c r="H3" s="326"/>
      <c r="I3" s="326"/>
      <c r="J3" s="326"/>
      <c r="K3" s="326"/>
      <c r="L3" s="328"/>
      <c r="M3" s="328"/>
      <c r="N3" s="328"/>
      <c r="O3" s="328"/>
      <c r="P3" s="328"/>
      <c r="Q3" s="328"/>
      <c r="R3" s="328"/>
      <c r="S3" s="328"/>
      <c r="T3" s="328"/>
      <c r="U3" s="328"/>
    </row>
    <row r="4" spans="2:21">
      <c r="H4" s="326"/>
      <c r="I4" s="326"/>
      <c r="J4" s="326"/>
      <c r="K4" s="326"/>
      <c r="L4" s="328"/>
      <c r="M4" s="328"/>
      <c r="N4" s="328"/>
      <c r="O4" s="328"/>
      <c r="P4" s="328"/>
      <c r="Q4" s="328"/>
      <c r="R4" s="328"/>
      <c r="S4" s="328"/>
      <c r="T4" s="328"/>
      <c r="U4" s="328"/>
    </row>
    <row r="5" spans="2:21">
      <c r="H5" s="327"/>
      <c r="I5" s="327"/>
      <c r="J5" s="327"/>
      <c r="K5" s="327"/>
      <c r="L5" s="329"/>
      <c r="M5" s="329"/>
      <c r="N5" s="329"/>
      <c r="O5" s="329"/>
      <c r="P5" s="329"/>
      <c r="Q5" s="329"/>
      <c r="R5" s="329"/>
      <c r="S5" s="329"/>
      <c r="T5" s="329"/>
      <c r="U5" s="329"/>
    </row>
    <row r="6" spans="2:21" ht="15" customHeight="1"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2:21" ht="15" customHeight="1">
      <c r="B7" s="9"/>
      <c r="C7" s="10"/>
      <c r="D7" s="10"/>
      <c r="E7" s="10"/>
      <c r="F7" s="11"/>
      <c r="H7" s="12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3"/>
    </row>
    <row r="8" spans="2:21" ht="15" customHeight="1">
      <c r="B8" s="12"/>
      <c r="C8" s="331" t="s">
        <v>48</v>
      </c>
      <c r="D8" s="331"/>
      <c r="E8" s="331"/>
      <c r="F8" s="13"/>
      <c r="H8" s="12"/>
      <c r="I8" s="7"/>
      <c r="J8" s="7"/>
      <c r="K8" s="7"/>
      <c r="L8" s="7"/>
      <c r="M8" s="7"/>
      <c r="N8" s="35"/>
      <c r="O8" s="7"/>
      <c r="P8" s="7"/>
      <c r="Q8" s="7"/>
      <c r="R8" s="7"/>
      <c r="S8" s="7"/>
      <c r="T8" s="35"/>
      <c r="U8" s="13"/>
    </row>
    <row r="9" spans="2:21" ht="15" customHeight="1">
      <c r="B9" s="12"/>
      <c r="C9" s="3" t="s">
        <v>9</v>
      </c>
      <c r="D9" s="3" t="s">
        <v>8</v>
      </c>
      <c r="E9" s="3" t="s">
        <v>7</v>
      </c>
      <c r="F9" s="13"/>
      <c r="H9" s="12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3"/>
    </row>
    <row r="10" spans="2:21" ht="15" customHeight="1">
      <c r="B10" s="12"/>
      <c r="C10" s="1" t="s">
        <v>0</v>
      </c>
      <c r="D10" s="4">
        <v>0</v>
      </c>
      <c r="E10" s="4">
        <f>+D11-D10</f>
        <v>0.4</v>
      </c>
      <c r="F10" s="13"/>
      <c r="H10" s="12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3"/>
    </row>
    <row r="11" spans="2:21" ht="15" customHeight="1">
      <c r="B11" s="12"/>
      <c r="C11" s="1" t="s">
        <v>1</v>
      </c>
      <c r="D11" s="4">
        <v>0.4</v>
      </c>
      <c r="E11" s="4">
        <f>+D12-D11</f>
        <v>0.4</v>
      </c>
      <c r="F11" s="13"/>
      <c r="G11" s="5"/>
      <c r="H11" s="78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7"/>
      <c r="U11" s="13"/>
    </row>
    <row r="12" spans="2:21" ht="15" customHeight="1">
      <c r="B12" s="12"/>
      <c r="C12" s="1" t="s">
        <v>2</v>
      </c>
      <c r="D12" s="4">
        <v>0.8</v>
      </c>
      <c r="E12" s="4">
        <f>+D13-D12</f>
        <v>0.19999999999999996</v>
      </c>
      <c r="F12" s="13"/>
      <c r="G12" s="5"/>
      <c r="H12" s="78"/>
      <c r="I12" s="5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13"/>
    </row>
    <row r="13" spans="2:21" ht="15" customHeight="1">
      <c r="B13" s="12"/>
      <c r="C13" s="1" t="s">
        <v>3</v>
      </c>
      <c r="D13" s="4">
        <v>1</v>
      </c>
      <c r="E13" s="4">
        <f>SUM(E10:E12)</f>
        <v>1</v>
      </c>
      <c r="F13" s="13"/>
      <c r="H13" s="1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"/>
    </row>
    <row r="14" spans="2:21" ht="15" customHeight="1">
      <c r="B14" s="12"/>
      <c r="C14" s="7"/>
      <c r="D14" s="7"/>
      <c r="E14" s="7"/>
      <c r="F14" s="13"/>
      <c r="H14" s="1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3"/>
    </row>
    <row r="15" spans="2:21" ht="15" customHeight="1">
      <c r="B15" s="12"/>
      <c r="C15" s="1" t="s">
        <v>10</v>
      </c>
      <c r="D15" s="27">
        <f>'AMBIENTE - 2018'!M20</f>
        <v>0.93400000000000005</v>
      </c>
      <c r="E15" s="2" t="s">
        <v>24</v>
      </c>
      <c r="F15" s="39">
        <f>'AMBIENTE - 2018'!E22</f>
        <v>171000000</v>
      </c>
      <c r="H15" s="1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3"/>
    </row>
    <row r="16" spans="2:21" ht="15" customHeight="1">
      <c r="B16" s="12"/>
      <c r="C16" s="1" t="s">
        <v>6</v>
      </c>
      <c r="D16" s="22">
        <f>+D15*PI()</f>
        <v>2.9342475384528668</v>
      </c>
      <c r="E16" s="2" t="s">
        <v>25</v>
      </c>
      <c r="F16" s="39">
        <f>'AMBIENTE - 2018'!E28</f>
        <v>171000000</v>
      </c>
      <c r="H16" s="1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3"/>
    </row>
    <row r="17" spans="2:23" ht="15" customHeight="1">
      <c r="B17" s="12"/>
      <c r="C17" s="7"/>
      <c r="D17" s="7"/>
      <c r="E17" s="2"/>
      <c r="F17" s="4">
        <f>IF((F16/F15)&gt;100%,100%,(F16/F15))</f>
        <v>1</v>
      </c>
      <c r="H17" s="12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3"/>
    </row>
    <row r="18" spans="2:23" ht="15" customHeight="1">
      <c r="B18" s="12"/>
      <c r="C18" s="1" t="s">
        <v>11</v>
      </c>
      <c r="D18" s="37">
        <f>'AMBIENTE - 2018'!E30</f>
        <v>1</v>
      </c>
      <c r="E18" s="5"/>
      <c r="F18" s="18"/>
      <c r="H18" s="1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3"/>
      <c r="W18" s="21"/>
    </row>
    <row r="19" spans="2:23" ht="15" customHeight="1">
      <c r="B19" s="12"/>
      <c r="C19" s="1" t="s">
        <v>6</v>
      </c>
      <c r="D19" s="22">
        <f>+D18*PI()</f>
        <v>3.1415926535897931</v>
      </c>
      <c r="E19" s="2" t="s">
        <v>26</v>
      </c>
      <c r="F19" s="38">
        <f>'AMBIENTE - 2018'!E11</f>
        <v>43536</v>
      </c>
      <c r="H19" s="1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3"/>
    </row>
    <row r="20" spans="2:23" ht="15" customHeight="1">
      <c r="B20" s="12"/>
      <c r="C20" s="7"/>
      <c r="D20" s="5"/>
      <c r="E20" s="2" t="s">
        <v>27</v>
      </c>
      <c r="F20" s="38">
        <f>'AMBIENTE - 2018'!E12</f>
        <v>44218</v>
      </c>
      <c r="H20" s="1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3"/>
    </row>
    <row r="21" spans="2:23" ht="15" customHeight="1">
      <c r="B21" s="12"/>
      <c r="C21" s="1" t="s">
        <v>23</v>
      </c>
      <c r="D21" s="20">
        <f>IFERROR(F20-F19,"")</f>
        <v>682</v>
      </c>
      <c r="E21" s="7"/>
      <c r="F21" s="11"/>
      <c r="H21" s="1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3"/>
    </row>
    <row r="22" spans="2:23" ht="15" customHeight="1">
      <c r="B22" s="12"/>
      <c r="C22" s="1" t="s">
        <v>21</v>
      </c>
      <c r="D22" s="20">
        <f ca="1">TODAY()-F19</f>
        <v>576</v>
      </c>
      <c r="E22" s="7"/>
      <c r="F22" s="13"/>
      <c r="H22" s="12"/>
      <c r="I22" s="7"/>
      <c r="J22" s="7"/>
      <c r="K22" s="7"/>
      <c r="L22" s="7"/>
      <c r="M22" s="7"/>
      <c r="N22" s="35"/>
      <c r="O22" s="7"/>
      <c r="P22" s="7"/>
      <c r="Q22" s="7"/>
      <c r="R22" s="7"/>
      <c r="S22" s="7"/>
      <c r="T22" s="35"/>
      <c r="U22" s="13"/>
    </row>
    <row r="23" spans="2:23" ht="15" customHeight="1">
      <c r="B23" s="12"/>
      <c r="C23" s="1" t="s">
        <v>15</v>
      </c>
      <c r="D23" s="4">
        <f ca="1">IFERROR(IF((D22/D21)&gt;100%,100%,(D22/D21)),"")</f>
        <v>0.84457478005865105</v>
      </c>
      <c r="E23" s="7"/>
      <c r="F23" s="13"/>
      <c r="H23" s="1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/>
    </row>
    <row r="24" spans="2:23" ht="15" customHeight="1">
      <c r="B24" s="12"/>
      <c r="C24" s="1" t="s">
        <v>6</v>
      </c>
      <c r="D24" s="2">
        <f ca="1">IFERROR(D23*PI(),"")</f>
        <v>2.6533099244394736</v>
      </c>
      <c r="E24" s="7"/>
      <c r="F24" s="29"/>
      <c r="H24" s="1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3"/>
    </row>
    <row r="25" spans="2:23" ht="15" customHeight="1">
      <c r="B25" s="12"/>
      <c r="C25" s="7"/>
      <c r="D25" s="7"/>
      <c r="E25" s="7"/>
      <c r="F25" s="13"/>
      <c r="H25" s="1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3"/>
    </row>
    <row r="26" spans="2:23" ht="15" customHeight="1">
      <c r="B26" s="12"/>
      <c r="C26" s="3" t="s">
        <v>12</v>
      </c>
      <c r="D26" s="3" t="s">
        <v>4</v>
      </c>
      <c r="E26" s="3" t="s">
        <v>5</v>
      </c>
      <c r="F26" s="13"/>
      <c r="H26" s="1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3"/>
    </row>
    <row r="27" spans="2:23" ht="15" customHeight="1">
      <c r="B27" s="12"/>
      <c r="C27" s="2">
        <v>1</v>
      </c>
      <c r="D27" s="2">
        <v>0</v>
      </c>
      <c r="E27" s="2">
        <v>0</v>
      </c>
      <c r="F27" s="13"/>
      <c r="H27" s="1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3"/>
    </row>
    <row r="28" spans="2:23" ht="15" customHeight="1">
      <c r="B28" s="12"/>
      <c r="C28" s="2">
        <v>2</v>
      </c>
      <c r="D28" s="2">
        <f>-COS(D16)</f>
        <v>0.97858090432547207</v>
      </c>
      <c r="E28" s="2">
        <f>SIN(D16)</f>
        <v>0.20586260876988141</v>
      </c>
      <c r="F28" s="13"/>
      <c r="H28" s="1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3"/>
    </row>
    <row r="29" spans="2:23" ht="15" customHeight="1">
      <c r="B29" s="12"/>
      <c r="C29" s="7"/>
      <c r="D29" s="7"/>
      <c r="E29" s="7"/>
      <c r="F29" s="13"/>
      <c r="H29" s="1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3"/>
    </row>
    <row r="30" spans="2:23" ht="15" customHeight="1">
      <c r="B30" s="12"/>
      <c r="C30" s="3" t="s">
        <v>13</v>
      </c>
      <c r="D30" s="3" t="s">
        <v>4</v>
      </c>
      <c r="E30" s="3" t="s">
        <v>5</v>
      </c>
      <c r="F30" s="13"/>
      <c r="H30" s="1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3"/>
    </row>
    <row r="31" spans="2:23" ht="15" customHeight="1">
      <c r="B31" s="12"/>
      <c r="C31" s="2">
        <v>1</v>
      </c>
      <c r="D31" s="2">
        <v>0</v>
      </c>
      <c r="E31" s="2">
        <v>0</v>
      </c>
      <c r="F31" s="13"/>
      <c r="H31" s="1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3"/>
    </row>
    <row r="32" spans="2:23" ht="15" customHeight="1">
      <c r="B32" s="12"/>
      <c r="C32" s="2">
        <v>2</v>
      </c>
      <c r="D32" s="2">
        <f>-COS(D19)</f>
        <v>1</v>
      </c>
      <c r="E32" s="2">
        <f>SIN(D19)</f>
        <v>1.22514845490862E-16</v>
      </c>
      <c r="F32" s="13"/>
      <c r="H32" s="1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3"/>
    </row>
    <row r="33" spans="2:21" ht="15" customHeight="1">
      <c r="B33" s="12"/>
      <c r="C33" s="7"/>
      <c r="D33" s="7"/>
      <c r="E33" s="7"/>
      <c r="F33" s="13"/>
      <c r="H33" s="1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3"/>
    </row>
    <row r="34" spans="2:21" ht="15" customHeight="1">
      <c r="B34" s="12"/>
      <c r="C34" s="3" t="s">
        <v>14</v>
      </c>
      <c r="D34" s="3" t="s">
        <v>4</v>
      </c>
      <c r="E34" s="3" t="s">
        <v>5</v>
      </c>
      <c r="F34" s="13"/>
      <c r="H34" s="1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3"/>
    </row>
    <row r="35" spans="2:21" ht="15" customHeight="1">
      <c r="B35" s="12"/>
      <c r="C35" s="6">
        <v>1</v>
      </c>
      <c r="D35" s="6">
        <v>0</v>
      </c>
      <c r="E35" s="6">
        <v>0</v>
      </c>
      <c r="F35" s="13"/>
      <c r="H35" s="12"/>
      <c r="I35" s="7"/>
      <c r="J35" s="7"/>
      <c r="K35" s="7"/>
      <c r="L35" s="7"/>
      <c r="M35" s="7"/>
      <c r="N35" s="35"/>
      <c r="O35" s="7"/>
      <c r="P35" s="7"/>
      <c r="Q35" s="7"/>
      <c r="R35" s="7"/>
      <c r="S35" s="7"/>
      <c r="T35" s="35"/>
      <c r="U35" s="13"/>
    </row>
    <row r="36" spans="2:21" ht="15" customHeight="1">
      <c r="B36" s="12"/>
      <c r="C36" s="6">
        <v>2</v>
      </c>
      <c r="D36" s="2">
        <f ca="1">IFERROR(-COS(D24),"")</f>
        <v>0.88313974932381578</v>
      </c>
      <c r="E36" s="2">
        <f ca="1">IFERROR(SIN(D24),"")</f>
        <v>0.46910999047586671</v>
      </c>
      <c r="F36" s="13"/>
      <c r="H36" s="1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3"/>
    </row>
    <row r="37" spans="2:21" ht="15" customHeight="1">
      <c r="B37" s="14"/>
      <c r="C37" s="15"/>
      <c r="D37" s="15"/>
      <c r="E37" s="15"/>
      <c r="F37" s="16"/>
      <c r="H37" s="1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3"/>
    </row>
    <row r="38" spans="2:21" ht="15" customHeight="1">
      <c r="B38" s="7"/>
      <c r="C38" s="7"/>
      <c r="D38" s="7"/>
      <c r="E38" s="7"/>
      <c r="F38" s="7"/>
      <c r="H38" s="1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3"/>
    </row>
    <row r="39" spans="2:21" ht="15" customHeight="1">
      <c r="B39" s="9"/>
      <c r="C39" s="10"/>
      <c r="D39" s="10"/>
      <c r="E39" s="10"/>
      <c r="F39" s="11"/>
      <c r="H39" s="1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3"/>
    </row>
    <row r="40" spans="2:21" ht="15" customHeight="1">
      <c r="B40" s="12"/>
      <c r="C40" s="332" t="s">
        <v>19</v>
      </c>
      <c r="D40" s="332"/>
      <c r="E40" s="332"/>
      <c r="F40" s="13"/>
      <c r="H40" s="1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3"/>
    </row>
    <row r="41" spans="2:21" ht="15" customHeight="1">
      <c r="B41" s="12"/>
      <c r="C41" s="3" t="s">
        <v>9</v>
      </c>
      <c r="D41" s="3" t="s">
        <v>8</v>
      </c>
      <c r="E41" s="3" t="s">
        <v>7</v>
      </c>
      <c r="F41" s="13"/>
      <c r="H41" s="1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</row>
    <row r="42" spans="2:21" ht="15" customHeight="1">
      <c r="B42" s="12"/>
      <c r="C42" s="1" t="s">
        <v>0</v>
      </c>
      <c r="D42" s="4">
        <v>0</v>
      </c>
      <c r="E42" s="4">
        <f>+D43-D42</f>
        <v>0.4</v>
      </c>
      <c r="F42" s="13"/>
      <c r="H42" s="1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3"/>
    </row>
    <row r="43" spans="2:21" ht="15" customHeight="1">
      <c r="B43" s="12"/>
      <c r="C43" s="1" t="s">
        <v>1</v>
      </c>
      <c r="D43" s="4">
        <v>0.4</v>
      </c>
      <c r="E43" s="4">
        <f>+D44-D43</f>
        <v>0.4</v>
      </c>
      <c r="F43" s="13"/>
      <c r="H43" s="1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3"/>
    </row>
    <row r="44" spans="2:21" ht="15" customHeight="1">
      <c r="B44" s="12"/>
      <c r="C44" s="1" t="s">
        <v>2</v>
      </c>
      <c r="D44" s="4">
        <v>0.8</v>
      </c>
      <c r="E44" s="4">
        <f>+D45-D44</f>
        <v>0.19999999999999996</v>
      </c>
      <c r="F44" s="13"/>
      <c r="H44" s="1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</row>
    <row r="45" spans="2:21" ht="15" customHeight="1">
      <c r="B45" s="12"/>
      <c r="C45" s="1" t="s">
        <v>3</v>
      </c>
      <c r="D45" s="4">
        <v>1</v>
      </c>
      <c r="E45" s="4">
        <f>SUM(E42:E44)</f>
        <v>1</v>
      </c>
      <c r="F45" s="13"/>
      <c r="H45" s="1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"/>
    </row>
    <row r="46" spans="2:21" ht="15" customHeight="1">
      <c r="B46" s="12"/>
      <c r="C46" s="7"/>
      <c r="D46" s="7"/>
      <c r="E46" s="7"/>
      <c r="F46" s="13"/>
      <c r="H46" s="1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3"/>
    </row>
    <row r="47" spans="2:21" ht="15" customHeight="1">
      <c r="B47" s="12"/>
      <c r="C47" s="1" t="s">
        <v>10</v>
      </c>
      <c r="D47" s="27">
        <f>'AYUDAS TECNICAS - 2019'!M34</f>
        <v>1.3026315789473684</v>
      </c>
      <c r="E47" s="2" t="s">
        <v>24</v>
      </c>
      <c r="F47" s="40">
        <f>'AYUDAS TECNICAS - 2019'!E22</f>
        <v>205000000</v>
      </c>
      <c r="H47" s="1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3"/>
    </row>
    <row r="48" spans="2:21" ht="15" customHeight="1">
      <c r="B48" s="12"/>
      <c r="C48" s="1" t="s">
        <v>6</v>
      </c>
      <c r="D48" s="22">
        <f>+D47*PI()</f>
        <v>4.0923377987551248</v>
      </c>
      <c r="E48" s="2" t="s">
        <v>25</v>
      </c>
      <c r="F48" s="40">
        <f>'AYUDAS TECNICAS - 2019'!E28</f>
        <v>204998439</v>
      </c>
      <c r="H48" s="1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3"/>
    </row>
    <row r="49" spans="2:21" ht="15" customHeight="1">
      <c r="B49" s="12"/>
      <c r="C49" s="7"/>
      <c r="D49" s="5"/>
      <c r="E49" s="2"/>
      <c r="F49" s="8">
        <f>IF((F48/F47)&gt;100%,100%,(F48/F47))</f>
        <v>0.99999238536585366</v>
      </c>
      <c r="H49" s="1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3"/>
    </row>
    <row r="50" spans="2:21" ht="15" customHeight="1">
      <c r="B50" s="12"/>
      <c r="C50" s="1" t="s">
        <v>11</v>
      </c>
      <c r="D50" s="19">
        <f>'AYUDAS TECNICAS - 2019'!E30</f>
        <v>0.99999238536585366</v>
      </c>
      <c r="E50" s="2" t="s">
        <v>26</v>
      </c>
      <c r="F50" s="38">
        <f>'AYUDAS TECNICAS - 2019'!E11</f>
        <v>43704</v>
      </c>
      <c r="H50" s="12"/>
      <c r="I50" s="7"/>
      <c r="J50" s="7"/>
      <c r="K50" s="7"/>
      <c r="L50" s="7"/>
      <c r="M50" s="7"/>
      <c r="N50" s="35"/>
      <c r="O50" s="7"/>
      <c r="P50" s="7"/>
      <c r="Q50" s="7"/>
      <c r="R50" s="7"/>
      <c r="S50" s="7"/>
      <c r="T50" s="35"/>
      <c r="U50" s="13"/>
    </row>
    <row r="51" spans="2:21" ht="15" customHeight="1">
      <c r="B51" s="12"/>
      <c r="C51" s="1" t="s">
        <v>6</v>
      </c>
      <c r="D51" s="22">
        <f>+D50*PI()</f>
        <v>3.1415687315110992</v>
      </c>
      <c r="E51" s="2" t="s">
        <v>28</v>
      </c>
      <c r="F51" s="38">
        <f>'AYUDAS TECNICAS - 2019'!E12</f>
        <v>43947</v>
      </c>
      <c r="H51" s="1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3"/>
    </row>
    <row r="52" spans="2:21" ht="15" customHeight="1">
      <c r="B52" s="12"/>
      <c r="C52" s="7"/>
      <c r="D52" s="5"/>
      <c r="E52" s="2" t="s">
        <v>29</v>
      </c>
      <c r="F52" s="38"/>
      <c r="H52" s="1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3"/>
    </row>
    <row r="53" spans="2:21" ht="15" customHeight="1">
      <c r="B53" s="12"/>
      <c r="C53" s="1" t="s">
        <v>23</v>
      </c>
      <c r="D53" s="20">
        <f>F51-F50</f>
        <v>243</v>
      </c>
      <c r="E53" s="7"/>
      <c r="F53" s="11"/>
      <c r="H53" s="1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3"/>
    </row>
    <row r="54" spans="2:21" ht="15" customHeight="1">
      <c r="B54" s="12"/>
      <c r="C54" s="1" t="s">
        <v>21</v>
      </c>
      <c r="D54" s="24">
        <f ca="1">TODAY()-F50</f>
        <v>408</v>
      </c>
      <c r="E54" s="7"/>
      <c r="F54" s="13"/>
      <c r="H54" s="1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3"/>
    </row>
    <row r="55" spans="2:21" ht="15" customHeight="1">
      <c r="B55" s="12"/>
      <c r="C55" s="1" t="s">
        <v>15</v>
      </c>
      <c r="D55" s="4">
        <f ca="1">IF((D54/D53)&gt;100%,100%,(D54/D53))</f>
        <v>1</v>
      </c>
      <c r="E55" s="7"/>
      <c r="F55" s="13"/>
      <c r="H55" s="1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3"/>
    </row>
    <row r="56" spans="2:21" ht="15" customHeight="1">
      <c r="B56" s="12"/>
      <c r="C56" s="1" t="s">
        <v>6</v>
      </c>
      <c r="D56" s="2">
        <f ca="1">+D55*PI()</f>
        <v>3.1415926535897931</v>
      </c>
      <c r="E56" s="7"/>
      <c r="F56" s="29"/>
      <c r="H56" s="1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3"/>
    </row>
    <row r="57" spans="2:21" ht="15" customHeight="1">
      <c r="B57" s="12"/>
      <c r="C57" s="7"/>
      <c r="D57" s="7"/>
      <c r="E57" s="7"/>
      <c r="F57" s="13"/>
      <c r="H57" s="12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3"/>
    </row>
    <row r="58" spans="2:21" ht="15" customHeight="1">
      <c r="B58" s="12"/>
      <c r="C58" s="3" t="s">
        <v>12</v>
      </c>
      <c r="D58" s="3" t="s">
        <v>4</v>
      </c>
      <c r="E58" s="3" t="s">
        <v>5</v>
      </c>
      <c r="F58" s="13"/>
      <c r="H58" s="12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3"/>
    </row>
    <row r="59" spans="2:21" ht="15" customHeight="1">
      <c r="B59" s="12"/>
      <c r="C59" s="2">
        <v>1</v>
      </c>
      <c r="D59" s="2">
        <v>0</v>
      </c>
      <c r="E59" s="2">
        <v>0</v>
      </c>
      <c r="F59" s="13"/>
      <c r="H59" s="12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3"/>
    </row>
    <row r="60" spans="2:21" ht="15" customHeight="1">
      <c r="B60" s="12"/>
      <c r="C60" s="2">
        <v>2</v>
      </c>
      <c r="D60" s="2">
        <f>-COS(D48)</f>
        <v>0.58107681540193878</v>
      </c>
      <c r="E60" s="2">
        <f>SIN(D48)</f>
        <v>-0.81384871727019459</v>
      </c>
      <c r="F60" s="13"/>
      <c r="H60" s="12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3"/>
    </row>
    <row r="61" spans="2:21" ht="15" customHeight="1">
      <c r="B61" s="12"/>
      <c r="C61" s="7"/>
      <c r="D61" s="7"/>
      <c r="E61" s="7"/>
      <c r="F61" s="13"/>
      <c r="H61" s="12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3"/>
    </row>
    <row r="62" spans="2:21" ht="15" customHeight="1">
      <c r="B62" s="12"/>
      <c r="C62" s="3" t="s">
        <v>13</v>
      </c>
      <c r="D62" s="3" t="s">
        <v>4</v>
      </c>
      <c r="E62" s="3" t="s">
        <v>5</v>
      </c>
      <c r="F62" s="13"/>
      <c r="H62" s="1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3"/>
    </row>
    <row r="63" spans="2:21" ht="15" customHeight="1">
      <c r="B63" s="12"/>
      <c r="C63" s="2">
        <v>1</v>
      </c>
      <c r="D63" s="6">
        <v>0</v>
      </c>
      <c r="E63" s="6">
        <v>0</v>
      </c>
      <c r="F63" s="13"/>
      <c r="H63" s="12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3"/>
    </row>
    <row r="64" spans="2:21" ht="15" customHeight="1">
      <c r="B64" s="12"/>
      <c r="C64" s="2">
        <v>2</v>
      </c>
      <c r="D64" s="6">
        <f>-COS(D51)</f>
        <v>0.9999999997138671</v>
      </c>
      <c r="E64" s="6">
        <f>SIN(D51)</f>
        <v>2.3922078691790682E-5</v>
      </c>
      <c r="F64" s="13"/>
      <c r="H64" s="12"/>
      <c r="I64" s="7"/>
      <c r="J64" s="7"/>
      <c r="K64" s="7"/>
      <c r="L64" s="7"/>
      <c r="M64" s="7"/>
      <c r="N64" s="35"/>
      <c r="O64" s="7"/>
      <c r="P64" s="7"/>
      <c r="Q64" s="7"/>
      <c r="R64" s="7"/>
      <c r="S64" s="7"/>
      <c r="T64" s="35"/>
      <c r="U64" s="13"/>
    </row>
    <row r="65" spans="2:21" ht="15" customHeight="1">
      <c r="B65" s="12"/>
      <c r="C65" s="7"/>
      <c r="D65" s="7"/>
      <c r="E65" s="7"/>
      <c r="F65" s="13"/>
      <c r="H65" s="12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3"/>
    </row>
    <row r="66" spans="2:21" ht="15" customHeight="1">
      <c r="B66" s="12"/>
      <c r="C66" s="3" t="s">
        <v>14</v>
      </c>
      <c r="D66" s="3" t="s">
        <v>4</v>
      </c>
      <c r="E66" s="3" t="s">
        <v>5</v>
      </c>
      <c r="F66" s="13"/>
      <c r="H66" s="1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3"/>
    </row>
    <row r="67" spans="2:21" ht="15" customHeight="1">
      <c r="B67" s="12"/>
      <c r="C67" s="2">
        <v>1</v>
      </c>
      <c r="D67" s="2">
        <v>0</v>
      </c>
      <c r="E67" s="2">
        <v>0</v>
      </c>
      <c r="F67" s="13"/>
      <c r="H67" s="12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3"/>
    </row>
    <row r="68" spans="2:21" ht="15" customHeight="1">
      <c r="B68" s="12"/>
      <c r="C68" s="2">
        <v>2</v>
      </c>
      <c r="D68" s="2">
        <f ca="1">-COS(D56)</f>
        <v>1</v>
      </c>
      <c r="E68" s="2">
        <f ca="1">SIN(D56)</f>
        <v>1.22514845490862E-16</v>
      </c>
      <c r="F68" s="13"/>
      <c r="H68" s="12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3"/>
    </row>
    <row r="69" spans="2:21" ht="15" customHeight="1">
      <c r="B69" s="14"/>
      <c r="C69" s="17"/>
      <c r="D69" s="17"/>
      <c r="E69" s="17"/>
      <c r="F69" s="16"/>
      <c r="H69" s="12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3"/>
    </row>
    <row r="70" spans="2:21" ht="15" customHeight="1">
      <c r="B70" s="7"/>
      <c r="C70" s="5"/>
      <c r="D70" s="5"/>
      <c r="E70" s="5"/>
      <c r="F70" s="7"/>
      <c r="H70" s="12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3"/>
    </row>
    <row r="71" spans="2:21" ht="15" customHeight="1">
      <c r="B71" s="9"/>
      <c r="C71" s="10"/>
      <c r="D71" s="10"/>
      <c r="E71" s="10"/>
      <c r="F71" s="11"/>
      <c r="H71" s="12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3"/>
    </row>
    <row r="72" spans="2:21" ht="15" customHeight="1">
      <c r="B72" s="12"/>
      <c r="C72" s="330" t="s">
        <v>20</v>
      </c>
      <c r="D72" s="330"/>
      <c r="E72" s="330"/>
      <c r="F72" s="13"/>
      <c r="H72" s="12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3"/>
    </row>
    <row r="73" spans="2:21" ht="15" customHeight="1">
      <c r="B73" s="12"/>
      <c r="C73" s="3" t="s">
        <v>9</v>
      </c>
      <c r="D73" s="3" t="s">
        <v>8</v>
      </c>
      <c r="E73" s="3" t="s">
        <v>7</v>
      </c>
      <c r="F73" s="13"/>
      <c r="H73" s="12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3"/>
    </row>
    <row r="74" spans="2:21" ht="15" customHeight="1">
      <c r="B74" s="12"/>
      <c r="C74" s="1" t="s">
        <v>0</v>
      </c>
      <c r="D74" s="4">
        <v>0</v>
      </c>
      <c r="E74" s="4">
        <f>+D75-D74</f>
        <v>0.4</v>
      </c>
      <c r="F74" s="13"/>
      <c r="H74" s="1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3"/>
    </row>
    <row r="75" spans="2:21" ht="15" customHeight="1">
      <c r="B75" s="12"/>
      <c r="C75" s="1" t="s">
        <v>1</v>
      </c>
      <c r="D75" s="4">
        <v>0.4</v>
      </c>
      <c r="E75" s="4">
        <f>+D76-D75</f>
        <v>0.4</v>
      </c>
      <c r="F75" s="13"/>
      <c r="H75" s="12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3"/>
    </row>
    <row r="76" spans="2:21" ht="15" customHeight="1">
      <c r="B76" s="12"/>
      <c r="C76" s="1" t="s">
        <v>2</v>
      </c>
      <c r="D76" s="4">
        <v>0.8</v>
      </c>
      <c r="E76" s="4">
        <f>+D77-D76</f>
        <v>0.19999999999999996</v>
      </c>
      <c r="F76" s="13"/>
      <c r="H76" s="12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3"/>
    </row>
    <row r="77" spans="2:21" ht="15" customHeight="1">
      <c r="B77" s="12"/>
      <c r="C77" s="1" t="s">
        <v>3</v>
      </c>
      <c r="D77" s="4">
        <v>1</v>
      </c>
      <c r="E77" s="4">
        <f>SUM(E74:E76)</f>
        <v>1</v>
      </c>
      <c r="F77" s="13"/>
      <c r="H77" s="12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3"/>
    </row>
    <row r="78" spans="2:21" ht="15" customHeight="1">
      <c r="B78" s="12"/>
      <c r="C78" s="7"/>
      <c r="D78" s="7"/>
      <c r="E78" s="7"/>
      <c r="F78" s="13"/>
      <c r="H78" s="12"/>
      <c r="I78" s="7"/>
      <c r="J78" s="7"/>
      <c r="K78" s="7"/>
      <c r="L78" s="7"/>
      <c r="M78" s="7"/>
      <c r="N78" s="35"/>
      <c r="O78" s="7"/>
      <c r="P78" s="7"/>
      <c r="Q78" s="7"/>
      <c r="R78" s="7"/>
      <c r="S78" s="7"/>
      <c r="T78" s="35"/>
      <c r="U78" s="13"/>
    </row>
    <row r="79" spans="2:21" ht="15" customHeight="1">
      <c r="B79" s="12"/>
      <c r="C79" s="1" t="s">
        <v>10</v>
      </c>
      <c r="D79" s="27">
        <f>'PARQUES - 2019'!M20</f>
        <v>1</v>
      </c>
      <c r="E79" s="2" t="s">
        <v>24</v>
      </c>
      <c r="F79" s="40">
        <f>'PARQUES - 2019'!E22</f>
        <v>5088355205</v>
      </c>
      <c r="H79" s="12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3"/>
    </row>
    <row r="80" spans="2:21" ht="15" customHeight="1">
      <c r="B80" s="12"/>
      <c r="C80" s="1" t="s">
        <v>6</v>
      </c>
      <c r="D80" s="22">
        <f>+D79*PI()</f>
        <v>3.1415926535897931</v>
      </c>
      <c r="E80" s="2" t="s">
        <v>25</v>
      </c>
      <c r="F80" s="40">
        <f>'PARQUES - 2019'!E37</f>
        <v>4574355492</v>
      </c>
      <c r="H80" s="12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3"/>
    </row>
    <row r="81" spans="2:21" ht="15" customHeight="1">
      <c r="B81" s="12"/>
      <c r="C81" s="7"/>
      <c r="D81" s="5"/>
      <c r="E81" s="2"/>
      <c r="F81" s="8">
        <f>F80/F79</f>
        <v>0.89898509591175446</v>
      </c>
      <c r="H81" s="12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3"/>
    </row>
    <row r="82" spans="2:21" ht="15" customHeight="1">
      <c r="B82" s="12"/>
      <c r="C82" s="1" t="s">
        <v>11</v>
      </c>
      <c r="D82" s="19">
        <f>'PARQUES - 2019'!E39</f>
        <v>0.89898509591175446</v>
      </c>
      <c r="E82" s="2" t="s">
        <v>26</v>
      </c>
      <c r="F82" s="38">
        <f>'PARQUES - 2019'!E11</f>
        <v>43089</v>
      </c>
      <c r="H82" s="12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3"/>
    </row>
    <row r="83" spans="2:21" ht="15" customHeight="1">
      <c r="B83" s="12"/>
      <c r="C83" s="1" t="s">
        <v>6</v>
      </c>
      <c r="D83" s="22">
        <f>+D82*PI()</f>
        <v>2.8242449730030832</v>
      </c>
      <c r="E83" s="2" t="s">
        <v>28</v>
      </c>
      <c r="F83" s="38">
        <v>43525</v>
      </c>
      <c r="H83" s="12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3"/>
    </row>
    <row r="84" spans="2:21" ht="15" customHeight="1">
      <c r="B84" s="12"/>
      <c r="C84" s="7"/>
      <c r="D84" s="5"/>
      <c r="E84" s="2" t="s">
        <v>30</v>
      </c>
      <c r="F84" s="38">
        <f>'PARQUES - 2019'!E12</f>
        <v>43774</v>
      </c>
      <c r="H84" s="12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3"/>
    </row>
    <row r="85" spans="2:21" ht="15" customHeight="1">
      <c r="B85" s="12"/>
      <c r="C85" s="1" t="s">
        <v>23</v>
      </c>
      <c r="D85" s="20">
        <f>F84-F82</f>
        <v>685</v>
      </c>
      <c r="E85" s="7"/>
      <c r="F85" s="13"/>
      <c r="H85" s="12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3"/>
    </row>
    <row r="86" spans="2:21" ht="15" customHeight="1">
      <c r="B86" s="12"/>
      <c r="C86" s="1" t="s">
        <v>21</v>
      </c>
      <c r="D86" s="20">
        <f ca="1">TODAY()-F82</f>
        <v>1023</v>
      </c>
      <c r="E86" s="7"/>
      <c r="F86" s="13"/>
      <c r="H86" s="12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3"/>
    </row>
    <row r="87" spans="2:21" ht="15" customHeight="1">
      <c r="B87" s="12"/>
      <c r="C87" s="1" t="s">
        <v>15</v>
      </c>
      <c r="D87" s="8">
        <f ca="1">IF((D86/D85)&gt;100%,100%,(D86/D85))</f>
        <v>1</v>
      </c>
      <c r="E87" s="7"/>
      <c r="F87" s="13"/>
      <c r="H87" s="12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3"/>
    </row>
    <row r="88" spans="2:21" ht="15" customHeight="1">
      <c r="B88" s="12"/>
      <c r="C88" s="1" t="s">
        <v>6</v>
      </c>
      <c r="D88" s="2">
        <f ca="1">+D87*PI()</f>
        <v>3.1415926535897931</v>
      </c>
      <c r="E88" s="7"/>
      <c r="F88" s="29"/>
      <c r="H88" s="14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6"/>
    </row>
    <row r="89" spans="2:21" ht="15" customHeight="1">
      <c r="B89" s="12"/>
      <c r="C89" s="7"/>
      <c r="D89" s="7"/>
      <c r="E89" s="7"/>
      <c r="F89" s="1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2:21" ht="15" customHeight="1">
      <c r="B90" s="12"/>
      <c r="C90" s="3" t="s">
        <v>12</v>
      </c>
      <c r="D90" s="3" t="s">
        <v>4</v>
      </c>
      <c r="E90" s="3" t="s">
        <v>5</v>
      </c>
      <c r="F90" s="1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2:21" ht="15" customHeight="1">
      <c r="B91" s="12"/>
      <c r="C91" s="2">
        <v>1</v>
      </c>
      <c r="D91" s="2">
        <v>0</v>
      </c>
      <c r="E91" s="2">
        <v>0</v>
      </c>
      <c r="F91" s="1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2:21" ht="15" customHeight="1">
      <c r="B92" s="12"/>
      <c r="C92" s="2">
        <v>2</v>
      </c>
      <c r="D92" s="2">
        <f>-COS(D80)</f>
        <v>1</v>
      </c>
      <c r="E92" s="2">
        <f>SIN(D80)</f>
        <v>1.22514845490862E-16</v>
      </c>
      <c r="F92" s="1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2:21" ht="15" customHeight="1">
      <c r="B93" s="12"/>
      <c r="C93" s="7"/>
      <c r="D93" s="7"/>
      <c r="E93" s="7"/>
      <c r="F93" s="13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2:21" ht="15" customHeight="1">
      <c r="B94" s="12"/>
      <c r="C94" s="3" t="s">
        <v>13</v>
      </c>
      <c r="D94" s="3" t="s">
        <v>4</v>
      </c>
      <c r="E94" s="3" t="s">
        <v>5</v>
      </c>
      <c r="F94" s="1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2:21" ht="15" customHeight="1">
      <c r="B95" s="12"/>
      <c r="C95" s="2">
        <v>1</v>
      </c>
      <c r="D95" s="6">
        <v>0</v>
      </c>
      <c r="E95" s="6">
        <v>0</v>
      </c>
      <c r="F95" s="13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2:21" ht="15" customHeight="1">
      <c r="B96" s="12"/>
      <c r="C96" s="2">
        <v>2</v>
      </c>
      <c r="D96" s="6">
        <f>-COS(D83)</f>
        <v>0.95006640926182895</v>
      </c>
      <c r="E96" s="6">
        <f>SIN(D83)</f>
        <v>0.31204778158534457</v>
      </c>
      <c r="F96" s="13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2:21" ht="15" customHeight="1">
      <c r="B97" s="12"/>
      <c r="C97" s="7"/>
      <c r="D97" s="7"/>
      <c r="E97" s="7"/>
      <c r="F97" s="13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2:21" ht="15" customHeight="1">
      <c r="B98" s="12"/>
      <c r="C98" s="3" t="s">
        <v>14</v>
      </c>
      <c r="D98" s="3" t="s">
        <v>4</v>
      </c>
      <c r="E98" s="3" t="s">
        <v>5</v>
      </c>
      <c r="F98" s="13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2:21" ht="15" customHeight="1">
      <c r="B99" s="12"/>
      <c r="C99" s="2">
        <v>1</v>
      </c>
      <c r="D99" s="2">
        <v>0</v>
      </c>
      <c r="E99" s="2">
        <v>0</v>
      </c>
      <c r="F99" s="13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2:21" ht="15" customHeight="1">
      <c r="B100" s="12"/>
      <c r="C100" s="2">
        <v>2</v>
      </c>
      <c r="D100" s="2">
        <f ca="1">-COS(D88)</f>
        <v>1</v>
      </c>
      <c r="E100" s="2">
        <f ca="1">SIN(D88)</f>
        <v>1.22514845490862E-16</v>
      </c>
      <c r="F100" s="13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2:21" ht="15" customHeight="1">
      <c r="B101" s="14"/>
      <c r="C101" s="15"/>
      <c r="D101" s="15"/>
      <c r="E101" s="15"/>
      <c r="F101" s="1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2:21" ht="15" customHeight="1">
      <c r="B102" s="7"/>
      <c r="C102" s="7"/>
      <c r="D102" s="7"/>
      <c r="E102" s="7"/>
      <c r="F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2:21" ht="15" customHeight="1">
      <c r="B103" s="9"/>
      <c r="C103" s="10"/>
      <c r="D103" s="10"/>
      <c r="E103" s="10"/>
      <c r="F103" s="1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2:21" ht="15" customHeight="1">
      <c r="B104" s="12"/>
      <c r="C104" s="332" t="s">
        <v>16</v>
      </c>
      <c r="D104" s="332"/>
      <c r="E104" s="332"/>
      <c r="F104" s="13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2:21" ht="15" customHeight="1">
      <c r="B105" s="12"/>
      <c r="C105" s="3" t="s">
        <v>9</v>
      </c>
      <c r="D105" s="3" t="s">
        <v>8</v>
      </c>
      <c r="E105" s="3" t="s">
        <v>7</v>
      </c>
      <c r="F105" s="13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2:21" ht="15" customHeight="1">
      <c r="B106" s="12"/>
      <c r="C106" s="1" t="s">
        <v>0</v>
      </c>
      <c r="D106" s="4">
        <v>0</v>
      </c>
      <c r="E106" s="4">
        <f>+D107-D106</f>
        <v>0.4</v>
      </c>
      <c r="F106" s="13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2:21" ht="15" customHeight="1">
      <c r="B107" s="12"/>
      <c r="C107" s="1" t="s">
        <v>1</v>
      </c>
      <c r="D107" s="4">
        <v>0.4</v>
      </c>
      <c r="E107" s="4">
        <f>+D108-D107</f>
        <v>0.4</v>
      </c>
      <c r="F107" s="13"/>
    </row>
    <row r="108" spans="2:21" ht="15" customHeight="1">
      <c r="B108" s="12"/>
      <c r="C108" s="1" t="s">
        <v>2</v>
      </c>
      <c r="D108" s="4">
        <v>0.8</v>
      </c>
      <c r="E108" s="4">
        <f>+D109-D108</f>
        <v>0.19999999999999996</v>
      </c>
      <c r="F108" s="13"/>
    </row>
    <row r="109" spans="2:21" ht="15" customHeight="1">
      <c r="B109" s="12"/>
      <c r="C109" s="1" t="s">
        <v>3</v>
      </c>
      <c r="D109" s="4">
        <v>1</v>
      </c>
      <c r="E109" s="4">
        <f>SUM(E106:E108)</f>
        <v>1</v>
      </c>
      <c r="F109" s="13"/>
    </row>
    <row r="110" spans="2:21" ht="15" customHeight="1">
      <c r="B110" s="12"/>
      <c r="C110" s="7"/>
      <c r="D110" s="7"/>
      <c r="E110" s="7"/>
      <c r="F110" s="13"/>
    </row>
    <row r="111" spans="2:21" ht="15" customHeight="1">
      <c r="B111" s="12"/>
      <c r="C111" s="1" t="s">
        <v>10</v>
      </c>
      <c r="D111" s="50">
        <f>'DEPORTES - 2019'!U31</f>
        <v>0.5522036872720103</v>
      </c>
      <c r="E111" s="2" t="s">
        <v>24</v>
      </c>
      <c r="F111" s="40">
        <f>'DEPORTES - 2019'!E25</f>
        <v>769577416.03999996</v>
      </c>
    </row>
    <row r="112" spans="2:21" ht="15" customHeight="1">
      <c r="B112" s="12"/>
      <c r="C112" s="1" t="s">
        <v>6</v>
      </c>
      <c r="D112" s="22">
        <f>+D111*PI()</f>
        <v>1.7347990472189432</v>
      </c>
      <c r="E112" s="2" t="s">
        <v>25</v>
      </c>
      <c r="F112" s="40">
        <f>'DEPORTES - 2019'!E39</f>
        <v>390051946</v>
      </c>
    </row>
    <row r="113" spans="2:6" ht="15" customHeight="1">
      <c r="B113" s="12"/>
      <c r="C113" s="7"/>
      <c r="D113" s="5"/>
      <c r="E113" s="2"/>
      <c r="F113" s="48">
        <f>F112/F111</f>
        <v>0.50683912738380887</v>
      </c>
    </row>
    <row r="114" spans="2:6" ht="15" customHeight="1">
      <c r="B114" s="12"/>
      <c r="C114" s="1" t="s">
        <v>11</v>
      </c>
      <c r="D114" s="51">
        <f>'DEPORTES - 2019'!E41</f>
        <v>0.50683912738380887</v>
      </c>
      <c r="E114" s="2" t="s">
        <v>26</v>
      </c>
      <c r="F114" s="53">
        <f>'DEPORTES - 2019'!E11</f>
        <v>43685</v>
      </c>
    </row>
    <row r="115" spans="2:6" ht="15" customHeight="1">
      <c r="B115" s="12"/>
      <c r="C115" s="1" t="s">
        <v>6</v>
      </c>
      <c r="D115" s="22">
        <f>+D114*PI()</f>
        <v>1.5922820791408352</v>
      </c>
      <c r="E115" s="2" t="s">
        <v>28</v>
      </c>
      <c r="F115" s="53">
        <f>'DEPORTES - 2019'!E12</f>
        <v>44141</v>
      </c>
    </row>
    <row r="116" spans="2:6" ht="15" customHeight="1">
      <c r="B116" s="12"/>
      <c r="C116" s="7"/>
      <c r="D116" s="2"/>
      <c r="E116" s="41" t="s">
        <v>29</v>
      </c>
      <c r="F116" s="56">
        <v>43930</v>
      </c>
    </row>
    <row r="117" spans="2:6" ht="15" customHeight="1">
      <c r="B117" s="12"/>
      <c r="C117" s="30" t="s">
        <v>23</v>
      </c>
      <c r="D117" s="2">
        <f>IFERROR('DEPORTES - 2019'!E12-'DEPORTES - 2019'!E11,"")</f>
        <v>456</v>
      </c>
      <c r="E117" s="7"/>
      <c r="F117" s="11"/>
    </row>
    <row r="118" spans="2:6" ht="15" customHeight="1">
      <c r="B118" s="12"/>
      <c r="C118" s="30" t="s">
        <v>21</v>
      </c>
      <c r="D118" s="2">
        <f ca="1">TODAY()-'DEPORTES - 2019'!E11</f>
        <v>427</v>
      </c>
      <c r="E118" s="7"/>
      <c r="F118" s="13"/>
    </row>
    <row r="119" spans="2:6" ht="15" customHeight="1">
      <c r="B119" s="12"/>
      <c r="C119" s="30" t="s">
        <v>15</v>
      </c>
      <c r="D119" s="4">
        <f ca="1">IFERROR(IF((D118/D117)&gt;100%,100%,(D118/D117)),"")</f>
        <v>0.93640350877192979</v>
      </c>
      <c r="E119" s="7"/>
      <c r="F119" s="13"/>
    </row>
    <row r="120" spans="2:6" ht="15" customHeight="1">
      <c r="B120" s="12"/>
      <c r="C120" s="30" t="s">
        <v>6</v>
      </c>
      <c r="D120" s="2">
        <f ca="1">IFERROR(D119*PI(),"")</f>
        <v>2.9417983839535999</v>
      </c>
      <c r="E120" s="7"/>
      <c r="F120" s="29"/>
    </row>
    <row r="121" spans="2:6" ht="15" customHeight="1">
      <c r="B121" s="12"/>
      <c r="C121" s="7"/>
      <c r="D121" s="7"/>
      <c r="E121" s="7"/>
      <c r="F121" s="13"/>
    </row>
    <row r="122" spans="2:6" ht="15" customHeight="1">
      <c r="B122" s="12"/>
      <c r="C122" s="3" t="s">
        <v>12</v>
      </c>
      <c r="D122" s="3" t="s">
        <v>4</v>
      </c>
      <c r="E122" s="3" t="s">
        <v>5</v>
      </c>
      <c r="F122" s="13"/>
    </row>
    <row r="123" spans="2:6" ht="15" customHeight="1">
      <c r="B123" s="12"/>
      <c r="C123" s="2">
        <v>1</v>
      </c>
      <c r="D123" s="2">
        <v>0</v>
      </c>
      <c r="E123" s="2">
        <v>0</v>
      </c>
      <c r="F123" s="13"/>
    </row>
    <row r="124" spans="2:6" ht="15" customHeight="1">
      <c r="B124" s="12"/>
      <c r="C124" s="2">
        <v>2</v>
      </c>
      <c r="D124" s="2">
        <f>-COS(D112)</f>
        <v>0.16326851459448291</v>
      </c>
      <c r="E124" s="2">
        <f>SIN(D112)</f>
        <v>0.98658167028488375</v>
      </c>
      <c r="F124" s="13"/>
    </row>
    <row r="125" spans="2:6" ht="15" customHeight="1">
      <c r="B125" s="12"/>
      <c r="C125" s="7"/>
      <c r="D125" s="7"/>
      <c r="E125" s="7"/>
      <c r="F125" s="13"/>
    </row>
    <row r="126" spans="2:6" ht="15" customHeight="1">
      <c r="B126" s="12"/>
      <c r="C126" s="3" t="s">
        <v>13</v>
      </c>
      <c r="D126" s="3" t="s">
        <v>4</v>
      </c>
      <c r="E126" s="3" t="s">
        <v>5</v>
      </c>
      <c r="F126" s="13"/>
    </row>
    <row r="127" spans="2:6" ht="15" customHeight="1">
      <c r="B127" s="12"/>
      <c r="C127" s="2">
        <v>1</v>
      </c>
      <c r="D127" s="6">
        <v>0</v>
      </c>
      <c r="E127" s="6">
        <v>0</v>
      </c>
      <c r="F127" s="13"/>
    </row>
    <row r="128" spans="2:6" ht="15" customHeight="1">
      <c r="B128" s="12"/>
      <c r="C128" s="2">
        <v>2</v>
      </c>
      <c r="D128" s="6">
        <f>-COS(D115)</f>
        <v>2.1484099279068913E-2</v>
      </c>
      <c r="E128" s="6">
        <f>SIN(D115)</f>
        <v>0.99976919010247911</v>
      </c>
      <c r="F128" s="13"/>
    </row>
    <row r="129" spans="2:6" ht="15" customHeight="1">
      <c r="B129" s="12"/>
      <c r="C129" s="7"/>
      <c r="D129" s="7"/>
      <c r="E129" s="7"/>
      <c r="F129" s="13"/>
    </row>
    <row r="130" spans="2:6" ht="15" customHeight="1">
      <c r="B130" s="12"/>
      <c r="C130" s="3" t="s">
        <v>14</v>
      </c>
      <c r="D130" s="3" t="s">
        <v>4</v>
      </c>
      <c r="E130" s="3" t="s">
        <v>5</v>
      </c>
      <c r="F130" s="13"/>
    </row>
    <row r="131" spans="2:6" ht="15" customHeight="1">
      <c r="B131" s="12"/>
      <c r="C131" s="2">
        <v>1</v>
      </c>
      <c r="D131" s="2">
        <v>0</v>
      </c>
      <c r="E131" s="2">
        <v>0</v>
      </c>
      <c r="F131" s="13"/>
    </row>
    <row r="132" spans="2:6" ht="15" customHeight="1">
      <c r="B132" s="12"/>
      <c r="C132" s="2">
        <v>2</v>
      </c>
      <c r="D132" s="2">
        <f ca="1">IFERROR(-COS(D120),"")</f>
        <v>0.98010742941400464</v>
      </c>
      <c r="E132" s="2">
        <f ca="1">IFERROR(SIN(D120),"")</f>
        <v>0.19846769713853152</v>
      </c>
      <c r="F132" s="13"/>
    </row>
    <row r="133" spans="2:6" ht="15" customHeight="1">
      <c r="B133" s="14"/>
      <c r="C133" s="15"/>
      <c r="D133" s="15"/>
      <c r="E133" s="15"/>
      <c r="F133" s="16"/>
    </row>
    <row r="134" spans="2:6" ht="15" customHeight="1">
      <c r="B134" s="7"/>
      <c r="C134" s="7"/>
      <c r="D134" s="7"/>
      <c r="E134" s="7"/>
      <c r="F134" s="7"/>
    </row>
    <row r="135" spans="2:6" ht="15" customHeight="1">
      <c r="B135" s="9"/>
      <c r="C135" s="10"/>
      <c r="D135" s="10"/>
      <c r="E135" s="10"/>
      <c r="F135" s="11"/>
    </row>
    <row r="136" spans="2:6" ht="15" customHeight="1">
      <c r="B136" s="12"/>
      <c r="C136" s="332" t="s">
        <v>17</v>
      </c>
      <c r="D136" s="332"/>
      <c r="E136" s="332"/>
      <c r="F136" s="13"/>
    </row>
    <row r="137" spans="2:6" ht="15" customHeight="1">
      <c r="B137" s="12"/>
      <c r="C137" s="3" t="s">
        <v>9</v>
      </c>
      <c r="D137" s="3" t="s">
        <v>8</v>
      </c>
      <c r="E137" s="3" t="s">
        <v>7</v>
      </c>
      <c r="F137" s="13"/>
    </row>
    <row r="138" spans="2:6" ht="15" customHeight="1">
      <c r="B138" s="12"/>
      <c r="C138" s="1" t="s">
        <v>0</v>
      </c>
      <c r="D138" s="4">
        <v>0</v>
      </c>
      <c r="E138" s="4">
        <f>+D139-D138</f>
        <v>0.4</v>
      </c>
      <c r="F138" s="13"/>
    </row>
    <row r="139" spans="2:6" ht="15" customHeight="1">
      <c r="B139" s="12"/>
      <c r="C139" s="1" t="s">
        <v>1</v>
      </c>
      <c r="D139" s="4">
        <v>0.4</v>
      </c>
      <c r="E139" s="4">
        <f>+D140-D139</f>
        <v>0.4</v>
      </c>
      <c r="F139" s="13"/>
    </row>
    <row r="140" spans="2:6" ht="15" customHeight="1">
      <c r="B140" s="12"/>
      <c r="C140" s="1" t="s">
        <v>2</v>
      </c>
      <c r="D140" s="4">
        <v>0.8</v>
      </c>
      <c r="E140" s="4">
        <f>+D141-D140</f>
        <v>0.19999999999999996</v>
      </c>
      <c r="F140" s="13"/>
    </row>
    <row r="141" spans="2:6" ht="15" customHeight="1">
      <c r="B141" s="12"/>
      <c r="C141" s="1" t="s">
        <v>3</v>
      </c>
      <c r="D141" s="4">
        <v>1</v>
      </c>
      <c r="E141" s="4">
        <f>SUM(E138:E140)</f>
        <v>1</v>
      </c>
      <c r="F141" s="13"/>
    </row>
    <row r="142" spans="2:6" ht="15" customHeight="1">
      <c r="B142" s="12"/>
      <c r="C142" s="7"/>
      <c r="D142" s="7"/>
      <c r="E142" s="7"/>
      <c r="F142" s="13"/>
    </row>
    <row r="143" spans="2:6" ht="15" customHeight="1">
      <c r="B143" s="12"/>
      <c r="C143" s="1" t="s">
        <v>10</v>
      </c>
      <c r="D143" s="50">
        <f>'CULTURA - 2019'!T9</f>
        <v>0.84294999999999987</v>
      </c>
      <c r="E143" s="2" t="s">
        <v>24</v>
      </c>
      <c r="F143" s="40">
        <f>'CULTURA - 2019'!E24</f>
        <v>454487184</v>
      </c>
    </row>
    <row r="144" spans="2:6" ht="15" customHeight="1">
      <c r="B144" s="12"/>
      <c r="C144" s="1" t="s">
        <v>6</v>
      </c>
      <c r="D144" s="22">
        <f>+D143*PI()</f>
        <v>2.6482055273435159</v>
      </c>
      <c r="E144" s="2" t="s">
        <v>25</v>
      </c>
      <c r="F144" s="40">
        <f>'CULTURA - 2019'!E35</f>
        <v>329794532</v>
      </c>
    </row>
    <row r="145" spans="2:6" ht="15" customHeight="1">
      <c r="B145" s="12"/>
      <c r="C145" s="7"/>
      <c r="D145" s="5"/>
      <c r="E145" s="2"/>
      <c r="F145" s="48">
        <f>F144/F143</f>
        <v>0.72564099409236582</v>
      </c>
    </row>
    <row r="146" spans="2:6" ht="15" customHeight="1">
      <c r="B146" s="12"/>
      <c r="C146" s="1" t="s">
        <v>11</v>
      </c>
      <c r="D146" s="51">
        <f>'CULTURA - 2019'!E37</f>
        <v>0.72564099409236582</v>
      </c>
      <c r="E146" s="2" t="s">
        <v>26</v>
      </c>
      <c r="F146" s="38">
        <v>43679</v>
      </c>
    </row>
    <row r="147" spans="2:6" ht="15" customHeight="1">
      <c r="B147" s="12"/>
      <c r="C147" s="1" t="s">
        <v>6</v>
      </c>
      <c r="D147" s="22">
        <f>+D146*PI()</f>
        <v>2.2796684161841707</v>
      </c>
      <c r="E147" s="2" t="s">
        <v>31</v>
      </c>
      <c r="F147" s="38" t="str">
        <f>+'CULTURA - 2019'!E12</f>
        <v>Suspendido</v>
      </c>
    </row>
    <row r="148" spans="2:6" ht="15" customHeight="1">
      <c r="B148" s="12"/>
      <c r="C148" s="7"/>
      <c r="D148" s="2"/>
      <c r="E148" s="41" t="s">
        <v>30</v>
      </c>
      <c r="F148" s="38"/>
    </row>
    <row r="149" spans="2:6" ht="15" customHeight="1">
      <c r="B149" s="12"/>
      <c r="C149" s="30" t="s">
        <v>23</v>
      </c>
      <c r="D149" s="2" t="str">
        <f>IFERROR(F147-F146,"")</f>
        <v/>
      </c>
      <c r="E149" s="7"/>
      <c r="F149" s="11"/>
    </row>
    <row r="150" spans="2:6" ht="15" customHeight="1">
      <c r="B150" s="12"/>
      <c r="C150" s="30" t="s">
        <v>22</v>
      </c>
      <c r="D150" s="2">
        <f ca="1">TODAY()-F146</f>
        <v>433</v>
      </c>
      <c r="E150" s="7"/>
      <c r="F150" s="31"/>
    </row>
    <row r="151" spans="2:6" ht="15" customHeight="1">
      <c r="B151" s="12"/>
      <c r="C151" s="30" t="s">
        <v>15</v>
      </c>
      <c r="D151" s="4" t="str">
        <f ca="1">IFERROR(IF((D150/D149)&gt;100%,100%,(D150/D149)),"")</f>
        <v/>
      </c>
      <c r="E151" s="7"/>
      <c r="F151" s="13"/>
    </row>
    <row r="152" spans="2:6" ht="15" customHeight="1">
      <c r="B152" s="12"/>
      <c r="C152" s="30" t="s">
        <v>6</v>
      </c>
      <c r="D152" s="2" t="str">
        <f ca="1">IFERROR(D151*PI(),"")</f>
        <v/>
      </c>
      <c r="E152" s="7"/>
      <c r="F152" s="29"/>
    </row>
    <row r="153" spans="2:6" ht="15" customHeight="1">
      <c r="B153" s="12"/>
      <c r="C153" s="7"/>
      <c r="D153" s="7"/>
      <c r="E153" s="7"/>
      <c r="F153" s="13"/>
    </row>
    <row r="154" spans="2:6" ht="15" customHeight="1">
      <c r="B154" s="12"/>
      <c r="C154" s="3" t="s">
        <v>12</v>
      </c>
      <c r="D154" s="3" t="s">
        <v>4</v>
      </c>
      <c r="E154" s="3" t="s">
        <v>5</v>
      </c>
      <c r="F154" s="13"/>
    </row>
    <row r="155" spans="2:6" ht="15" customHeight="1">
      <c r="B155" s="12"/>
      <c r="C155" s="2">
        <v>1</v>
      </c>
      <c r="D155" s="2">
        <v>0</v>
      </c>
      <c r="E155" s="2">
        <v>0</v>
      </c>
      <c r="F155" s="13"/>
    </row>
    <row r="156" spans="2:6" ht="15" customHeight="1">
      <c r="B156" s="12"/>
      <c r="C156" s="2">
        <v>2</v>
      </c>
      <c r="D156" s="2">
        <f>-COS(D144)</f>
        <v>0.88073373102832619</v>
      </c>
      <c r="E156" s="2">
        <f>SIN(D144)</f>
        <v>0.47361175558565272</v>
      </c>
      <c r="F156" s="13"/>
    </row>
    <row r="157" spans="2:6" ht="15" customHeight="1">
      <c r="B157" s="12"/>
      <c r="C157" s="7"/>
      <c r="D157" s="7"/>
      <c r="E157" s="7"/>
      <c r="F157" s="13"/>
    </row>
    <row r="158" spans="2:6" ht="15" customHeight="1">
      <c r="B158" s="12"/>
      <c r="C158" s="3" t="s">
        <v>13</v>
      </c>
      <c r="D158" s="3" t="s">
        <v>4</v>
      </c>
      <c r="E158" s="3" t="s">
        <v>5</v>
      </c>
      <c r="F158" s="13"/>
    </row>
    <row r="159" spans="2:6" ht="15" customHeight="1">
      <c r="B159" s="12"/>
      <c r="C159" s="2">
        <v>1</v>
      </c>
      <c r="D159" s="6">
        <v>0</v>
      </c>
      <c r="E159" s="6">
        <v>0</v>
      </c>
      <c r="F159" s="13"/>
    </row>
    <row r="160" spans="2:6" ht="15" customHeight="1">
      <c r="B160" s="12"/>
      <c r="C160" s="2">
        <v>2</v>
      </c>
      <c r="D160" s="6">
        <f>-COS(D147)</f>
        <v>0.6509779921705362</v>
      </c>
      <c r="E160" s="6">
        <f>SIN(D147)</f>
        <v>0.75909660367414189</v>
      </c>
      <c r="F160" s="13"/>
    </row>
    <row r="161" spans="2:6" ht="15" customHeight="1">
      <c r="B161" s="12"/>
      <c r="C161" s="7"/>
      <c r="D161" s="7"/>
      <c r="E161" s="7"/>
      <c r="F161" s="13"/>
    </row>
    <row r="162" spans="2:6" ht="15" customHeight="1">
      <c r="B162" s="12"/>
      <c r="C162" s="3" t="s">
        <v>14</v>
      </c>
      <c r="D162" s="3" t="s">
        <v>4</v>
      </c>
      <c r="E162" s="3" t="s">
        <v>5</v>
      </c>
      <c r="F162" s="13"/>
    </row>
    <row r="163" spans="2:6" ht="15" customHeight="1">
      <c r="B163" s="12"/>
      <c r="C163" s="2">
        <v>1</v>
      </c>
      <c r="D163" s="2">
        <v>0</v>
      </c>
      <c r="E163" s="2">
        <v>0</v>
      </c>
      <c r="F163" s="13"/>
    </row>
    <row r="164" spans="2:6" ht="15" customHeight="1">
      <c r="B164" s="12"/>
      <c r="C164" s="2">
        <v>2</v>
      </c>
      <c r="D164" s="2" t="str">
        <f ca="1">IFERROR(-COS(D152),"")</f>
        <v/>
      </c>
      <c r="E164" s="2" t="str">
        <f ca="1">IFERROR(SIN(D152),"")</f>
        <v/>
      </c>
      <c r="F164" s="13"/>
    </row>
    <row r="165" spans="2:6" ht="15" customHeight="1">
      <c r="B165" s="14"/>
      <c r="C165" s="15"/>
      <c r="D165" s="15"/>
      <c r="E165" s="15"/>
      <c r="F165" s="16"/>
    </row>
    <row r="166" spans="2:6" ht="15" customHeight="1">
      <c r="B166" s="7"/>
      <c r="C166" s="7"/>
      <c r="D166" s="7"/>
      <c r="E166" s="7"/>
      <c r="F166" s="7"/>
    </row>
    <row r="167" spans="2:6" ht="15" customHeight="1">
      <c r="B167" s="9"/>
      <c r="C167" s="10"/>
      <c r="D167" s="10"/>
      <c r="E167" s="10"/>
      <c r="F167" s="11"/>
    </row>
    <row r="168" spans="2:6" ht="15" customHeight="1">
      <c r="B168" s="12"/>
      <c r="C168" s="330" t="s">
        <v>49</v>
      </c>
      <c r="D168" s="330"/>
      <c r="E168" s="330"/>
      <c r="F168" s="13"/>
    </row>
    <row r="169" spans="2:6" ht="15" customHeight="1">
      <c r="B169" s="12"/>
      <c r="C169" s="3" t="s">
        <v>9</v>
      </c>
      <c r="D169" s="3" t="s">
        <v>8</v>
      </c>
      <c r="E169" s="3" t="s">
        <v>7</v>
      </c>
      <c r="F169" s="13"/>
    </row>
    <row r="170" spans="2:6" ht="15" customHeight="1">
      <c r="B170" s="12"/>
      <c r="C170" s="1" t="s">
        <v>0</v>
      </c>
      <c r="D170" s="4">
        <v>0</v>
      </c>
      <c r="E170" s="4">
        <f>+D171-D170</f>
        <v>0.4</v>
      </c>
      <c r="F170" s="13"/>
    </row>
    <row r="171" spans="2:6" ht="15" customHeight="1">
      <c r="B171" s="12"/>
      <c r="C171" s="1" t="s">
        <v>1</v>
      </c>
      <c r="D171" s="4">
        <v>0.4</v>
      </c>
      <c r="E171" s="4">
        <f>+D172-D171</f>
        <v>0.4</v>
      </c>
      <c r="F171" s="13"/>
    </row>
    <row r="172" spans="2:6" ht="15" customHeight="1">
      <c r="B172" s="12"/>
      <c r="C172" s="1" t="s">
        <v>2</v>
      </c>
      <c r="D172" s="4">
        <v>0.8</v>
      </c>
      <c r="E172" s="4">
        <f>+D173-D172</f>
        <v>0.19999999999999996</v>
      </c>
      <c r="F172" s="13"/>
    </row>
    <row r="173" spans="2:6" ht="15" customHeight="1">
      <c r="B173" s="12"/>
      <c r="C173" s="1" t="s">
        <v>3</v>
      </c>
      <c r="D173" s="4">
        <v>1</v>
      </c>
      <c r="E173" s="4">
        <f>SUM(E170:E172)</f>
        <v>1</v>
      </c>
      <c r="F173" s="13"/>
    </row>
    <row r="174" spans="2:6" ht="15" customHeight="1">
      <c r="B174" s="12"/>
      <c r="C174" s="7"/>
      <c r="D174" s="7"/>
      <c r="E174" s="7"/>
      <c r="F174" s="13"/>
    </row>
    <row r="175" spans="2:6" ht="15" customHeight="1">
      <c r="B175" s="12"/>
      <c r="C175" s="1" t="s">
        <v>10</v>
      </c>
      <c r="D175" s="28">
        <f>'MALLA VIAL - 2018'!M31</f>
        <v>0.39395985259891392</v>
      </c>
      <c r="E175" s="2" t="s">
        <v>24</v>
      </c>
      <c r="F175" s="40">
        <f>'MALLA VIAL - 2018'!E22</f>
        <v>10810000000</v>
      </c>
    </row>
    <row r="176" spans="2:6" ht="15" customHeight="1">
      <c r="B176" s="12"/>
      <c r="C176" s="1" t="s">
        <v>6</v>
      </c>
      <c r="D176" s="22">
        <f>+D175*PI()</f>
        <v>1.2376613787340658</v>
      </c>
      <c r="E176" s="2" t="s">
        <v>25</v>
      </c>
      <c r="F176" s="40">
        <f>'MALLA VIAL - 2018'!E36</f>
        <v>8692107920</v>
      </c>
    </row>
    <row r="177" spans="2:6" ht="15" customHeight="1">
      <c r="B177" s="12"/>
      <c r="C177" s="7"/>
      <c r="D177" s="5"/>
      <c r="E177" s="2"/>
      <c r="F177" s="8">
        <f>F176/F175</f>
        <v>0.8040802886216466</v>
      </c>
    </row>
    <row r="178" spans="2:6" ht="15" customHeight="1">
      <c r="B178" s="12"/>
      <c r="C178" s="1" t="s">
        <v>11</v>
      </c>
      <c r="D178" s="4">
        <f>'MALLA VIAL - 2018'!E38</f>
        <v>0.8040802886216466</v>
      </c>
      <c r="E178" s="5"/>
      <c r="F178" s="18"/>
    </row>
    <row r="179" spans="2:6" ht="15" customHeight="1">
      <c r="B179" s="12"/>
      <c r="C179" s="1" t="s">
        <v>6</v>
      </c>
      <c r="D179" s="22">
        <f>+D178*PI()</f>
        <v>2.5260927276301253</v>
      </c>
      <c r="E179" s="42" t="s">
        <v>26</v>
      </c>
      <c r="F179" s="43">
        <f>'MALLA VIAL - 2018'!E11</f>
        <v>43403</v>
      </c>
    </row>
    <row r="180" spans="2:6" ht="15" customHeight="1">
      <c r="B180" s="12"/>
      <c r="C180" s="7"/>
      <c r="D180" s="5"/>
      <c r="E180" s="2" t="s">
        <v>31</v>
      </c>
      <c r="F180" s="38">
        <f>'MALLA VIAL - 2018'!E12</f>
        <v>43767</v>
      </c>
    </row>
    <row r="181" spans="2:6" ht="15" customHeight="1">
      <c r="B181" s="12"/>
      <c r="C181" s="1" t="s">
        <v>23</v>
      </c>
      <c r="D181" s="32">
        <f>F180-F179</f>
        <v>364</v>
      </c>
      <c r="E181" s="7"/>
      <c r="F181" s="11"/>
    </row>
    <row r="182" spans="2:6" ht="15" customHeight="1">
      <c r="B182" s="12"/>
      <c r="C182" s="1" t="s">
        <v>22</v>
      </c>
      <c r="D182" s="32">
        <f ca="1">TODAY()-F179</f>
        <v>709</v>
      </c>
      <c r="E182" s="7"/>
      <c r="F182" s="13"/>
    </row>
    <row r="183" spans="2:6" ht="15" customHeight="1">
      <c r="B183" s="12"/>
      <c r="C183" s="1" t="s">
        <v>15</v>
      </c>
      <c r="D183" s="4">
        <f ca="1">IF((D182/D181)&gt;100%,100%,(D182/D181))</f>
        <v>1</v>
      </c>
      <c r="E183" s="7"/>
      <c r="F183" s="13"/>
    </row>
    <row r="184" spans="2:6" ht="15" customHeight="1">
      <c r="B184" s="12"/>
      <c r="C184" s="1" t="s">
        <v>6</v>
      </c>
      <c r="D184" s="2">
        <f ca="1">+D183*PI()</f>
        <v>3.1415926535897931</v>
      </c>
      <c r="E184" s="7"/>
      <c r="F184" s="29"/>
    </row>
    <row r="185" spans="2:6" ht="15" customHeight="1">
      <c r="B185" s="12"/>
      <c r="C185" s="7"/>
      <c r="D185" s="7"/>
      <c r="E185" s="7"/>
      <c r="F185" s="13"/>
    </row>
    <row r="186" spans="2:6" ht="15" customHeight="1">
      <c r="B186" s="12"/>
      <c r="C186" s="3" t="s">
        <v>12</v>
      </c>
      <c r="D186" s="3" t="s">
        <v>4</v>
      </c>
      <c r="E186" s="23" t="s">
        <v>5</v>
      </c>
      <c r="F186" s="13"/>
    </row>
    <row r="187" spans="2:6" ht="15" customHeight="1">
      <c r="B187" s="12"/>
      <c r="C187" s="2">
        <v>1</v>
      </c>
      <c r="D187" s="2">
        <v>0</v>
      </c>
      <c r="E187" s="2">
        <v>0</v>
      </c>
      <c r="F187" s="13"/>
    </row>
    <row r="188" spans="2:6" ht="15" customHeight="1">
      <c r="B188" s="12"/>
      <c r="C188" s="2">
        <v>2</v>
      </c>
      <c r="D188" s="2">
        <f>-COS(D176)</f>
        <v>-0.32700722481742972</v>
      </c>
      <c r="E188" s="2">
        <f>SIN(D176)</f>
        <v>0.94502183832819597</v>
      </c>
      <c r="F188" s="13"/>
    </row>
    <row r="189" spans="2:6" ht="15" customHeight="1">
      <c r="B189" s="12"/>
      <c r="C189" s="7"/>
      <c r="D189" s="7"/>
      <c r="E189" s="7"/>
      <c r="F189" s="13"/>
    </row>
    <row r="190" spans="2:6" ht="15" customHeight="1">
      <c r="B190" s="12"/>
      <c r="C190" s="3" t="s">
        <v>13</v>
      </c>
      <c r="D190" s="3" t="s">
        <v>4</v>
      </c>
      <c r="E190" s="3" t="s">
        <v>5</v>
      </c>
      <c r="F190" s="13"/>
    </row>
    <row r="191" spans="2:6" ht="15" customHeight="1">
      <c r="B191" s="12"/>
      <c r="C191" s="2">
        <v>1</v>
      </c>
      <c r="D191" s="6">
        <v>0</v>
      </c>
      <c r="E191" s="6">
        <v>0</v>
      </c>
      <c r="F191" s="13"/>
    </row>
    <row r="192" spans="2:6" ht="15" customHeight="1">
      <c r="B192" s="12"/>
      <c r="C192" s="2">
        <v>2</v>
      </c>
      <c r="D192" s="6">
        <f>-COS(D179)</f>
        <v>0.81648490830345144</v>
      </c>
      <c r="E192" s="6">
        <f>SIN(D179)</f>
        <v>0.5773667764192052</v>
      </c>
      <c r="F192" s="13"/>
    </row>
    <row r="193" spans="2:6" ht="15" customHeight="1">
      <c r="B193" s="12"/>
      <c r="C193" s="7"/>
      <c r="D193" s="7"/>
      <c r="E193" s="7"/>
      <c r="F193" s="13"/>
    </row>
    <row r="194" spans="2:6" ht="15" customHeight="1">
      <c r="B194" s="12"/>
      <c r="C194" s="3" t="s">
        <v>14</v>
      </c>
      <c r="D194" s="3" t="s">
        <v>4</v>
      </c>
      <c r="E194" s="3" t="s">
        <v>5</v>
      </c>
      <c r="F194" s="13"/>
    </row>
    <row r="195" spans="2:6" ht="15" customHeight="1">
      <c r="B195" s="12"/>
      <c r="C195" s="2">
        <v>1</v>
      </c>
      <c r="D195" s="2">
        <v>0</v>
      </c>
      <c r="E195" s="2">
        <v>0</v>
      </c>
      <c r="F195" s="13"/>
    </row>
    <row r="196" spans="2:6" ht="15" customHeight="1">
      <c r="B196" s="12"/>
      <c r="C196" s="2">
        <v>2</v>
      </c>
      <c r="D196" s="2">
        <f ca="1">-COS(D184)</f>
        <v>1</v>
      </c>
      <c r="E196" s="2">
        <f ca="1">SIN(D184)</f>
        <v>1.22514845490862E-16</v>
      </c>
      <c r="F196" s="13"/>
    </row>
    <row r="197" spans="2:6" ht="15" customHeight="1">
      <c r="B197" s="14"/>
      <c r="C197" s="15"/>
      <c r="D197" s="15"/>
      <c r="E197" s="15"/>
      <c r="F197" s="16"/>
    </row>
    <row r="198" spans="2:6" ht="15" customHeight="1">
      <c r="B198" s="7"/>
      <c r="C198" s="7"/>
      <c r="D198" s="7"/>
      <c r="E198" s="7"/>
      <c r="F198" s="7"/>
    </row>
    <row r="199" spans="2:6" ht="15" customHeight="1">
      <c r="B199" s="9"/>
      <c r="C199" s="10"/>
      <c r="D199" s="10"/>
      <c r="E199" s="10"/>
      <c r="F199" s="11"/>
    </row>
    <row r="200" spans="2:6" ht="15" customHeight="1">
      <c r="B200" s="12"/>
      <c r="C200" s="330" t="s">
        <v>131</v>
      </c>
      <c r="D200" s="330"/>
      <c r="E200" s="330"/>
      <c r="F200" s="13"/>
    </row>
    <row r="201" spans="2:6" ht="15" customHeight="1">
      <c r="B201" s="12"/>
      <c r="C201" s="3" t="s">
        <v>9</v>
      </c>
      <c r="D201" s="3" t="s">
        <v>8</v>
      </c>
      <c r="E201" s="3" t="s">
        <v>7</v>
      </c>
      <c r="F201" s="13"/>
    </row>
    <row r="202" spans="2:6" ht="15" customHeight="1">
      <c r="B202" s="12"/>
      <c r="C202" s="1" t="s">
        <v>0</v>
      </c>
      <c r="D202" s="4">
        <v>0</v>
      </c>
      <c r="E202" s="4">
        <f>+D203-D202</f>
        <v>0.4</v>
      </c>
      <c r="F202" s="13"/>
    </row>
    <row r="203" spans="2:6" ht="15" customHeight="1">
      <c r="B203" s="12"/>
      <c r="C203" s="1" t="s">
        <v>1</v>
      </c>
      <c r="D203" s="4">
        <v>0.4</v>
      </c>
      <c r="E203" s="4">
        <f>+D204-D203</f>
        <v>0.4</v>
      </c>
      <c r="F203" s="13"/>
    </row>
    <row r="204" spans="2:6" ht="15" customHeight="1">
      <c r="B204" s="12"/>
      <c r="C204" s="1" t="s">
        <v>2</v>
      </c>
      <c r="D204" s="4">
        <v>0.8</v>
      </c>
      <c r="E204" s="4">
        <f>+D205-D204</f>
        <v>0.19999999999999996</v>
      </c>
      <c r="F204" s="13"/>
    </row>
    <row r="205" spans="2:6" ht="15" customHeight="1">
      <c r="B205" s="12"/>
      <c r="C205" s="1" t="s">
        <v>3</v>
      </c>
      <c r="D205" s="4">
        <v>1</v>
      </c>
      <c r="E205" s="4">
        <f>SUM(E202:E204)</f>
        <v>1</v>
      </c>
      <c r="F205" s="13"/>
    </row>
    <row r="206" spans="2:6" ht="15" customHeight="1">
      <c r="B206" s="12"/>
      <c r="C206" s="7"/>
      <c r="D206" s="7"/>
      <c r="E206" s="7"/>
      <c r="F206" s="13"/>
    </row>
    <row r="207" spans="2:6" ht="15" customHeight="1">
      <c r="B207" s="12"/>
      <c r="C207" s="1" t="s">
        <v>10</v>
      </c>
      <c r="D207" s="28">
        <f>'BUEN TRATO- 2018'!N22</f>
        <v>1.2755555555555556</v>
      </c>
      <c r="E207" s="2" t="s">
        <v>24</v>
      </c>
      <c r="F207" s="40">
        <f>'BUEN TRATO- 2018'!E22</f>
        <v>182201317</v>
      </c>
    </row>
    <row r="208" spans="2:6" ht="15" customHeight="1">
      <c r="B208" s="12"/>
      <c r="C208" s="1" t="s">
        <v>6</v>
      </c>
      <c r="D208" s="22">
        <f>+D207*PI()</f>
        <v>4.0072759625789809</v>
      </c>
      <c r="E208" s="2" t="s">
        <v>25</v>
      </c>
      <c r="F208" s="40">
        <f>'BUEN TRATO- 2018'!E34</f>
        <v>172812216</v>
      </c>
    </row>
    <row r="209" spans="2:6" ht="15" customHeight="1">
      <c r="B209" s="12"/>
      <c r="C209" s="7"/>
      <c r="D209" s="5"/>
      <c r="E209" s="2"/>
      <c r="F209" s="8">
        <f>+F208/F207</f>
        <v>0.94846853384709617</v>
      </c>
    </row>
    <row r="210" spans="2:6" ht="15" customHeight="1">
      <c r="B210" s="12"/>
      <c r="C210" s="1" t="s">
        <v>11</v>
      </c>
      <c r="D210" s="4">
        <f>'BUEN TRATO- 2018'!E36</f>
        <v>0.94846853384709617</v>
      </c>
      <c r="E210" s="5"/>
      <c r="F210" s="18"/>
    </row>
    <row r="211" spans="2:6" ht="15" customHeight="1">
      <c r="B211" s="12"/>
      <c r="C211" s="1" t="s">
        <v>6</v>
      </c>
      <c r="D211" s="22">
        <f>+D210*PI()</f>
        <v>2.9797017780951194</v>
      </c>
      <c r="E211" s="2" t="s">
        <v>26</v>
      </c>
      <c r="F211" s="38">
        <f>'BUEN TRATO- 2018'!E11</f>
        <v>43369</v>
      </c>
    </row>
    <row r="212" spans="2:6" ht="15" customHeight="1">
      <c r="B212" s="12"/>
      <c r="C212" s="7"/>
      <c r="D212" s="5"/>
      <c r="E212" s="2" t="s">
        <v>31</v>
      </c>
      <c r="F212" s="38">
        <f>'BUEN TRATO- 2018'!E12</f>
        <v>43749</v>
      </c>
    </row>
    <row r="213" spans="2:6" ht="15" customHeight="1">
      <c r="B213" s="12"/>
      <c r="C213" s="1" t="s">
        <v>23</v>
      </c>
      <c r="D213" s="2">
        <f>F212-F211</f>
        <v>380</v>
      </c>
      <c r="E213" s="7"/>
      <c r="F213" s="33"/>
    </row>
    <row r="214" spans="2:6" ht="15" customHeight="1">
      <c r="B214" s="12"/>
      <c r="C214" s="1" t="s">
        <v>22</v>
      </c>
      <c r="D214" s="2">
        <f ca="1">TODAY()-F211</f>
        <v>743</v>
      </c>
      <c r="E214" s="7"/>
      <c r="F214" s="34"/>
    </row>
    <row r="215" spans="2:6" ht="15" customHeight="1">
      <c r="B215" s="12"/>
      <c r="C215" s="1" t="s">
        <v>15</v>
      </c>
      <c r="D215" s="4">
        <f ca="1">IF((D214/D213)&gt;100%,100%,(D214/D213))</f>
        <v>1</v>
      </c>
      <c r="E215" s="7"/>
      <c r="F215" s="13"/>
    </row>
    <row r="216" spans="2:6" ht="15" customHeight="1">
      <c r="B216" s="12"/>
      <c r="C216" s="1" t="s">
        <v>6</v>
      </c>
      <c r="D216" s="2">
        <f ca="1">+D215*PI()</f>
        <v>3.1415926535897931</v>
      </c>
      <c r="E216" s="7"/>
      <c r="F216" s="29"/>
    </row>
    <row r="217" spans="2:6" ht="15" customHeight="1">
      <c r="B217" s="12"/>
      <c r="C217" s="7"/>
      <c r="D217" s="7"/>
      <c r="E217" s="7"/>
      <c r="F217" s="13"/>
    </row>
    <row r="218" spans="2:6" ht="15" customHeight="1">
      <c r="B218" s="12"/>
      <c r="C218" s="3" t="s">
        <v>12</v>
      </c>
      <c r="D218" s="3" t="s">
        <v>4</v>
      </c>
      <c r="E218" s="3" t="s">
        <v>5</v>
      </c>
      <c r="F218" s="13"/>
    </row>
    <row r="219" spans="2:6" ht="15" customHeight="1">
      <c r="B219" s="12"/>
      <c r="C219" s="2">
        <v>1</v>
      </c>
      <c r="D219" s="2">
        <v>0</v>
      </c>
      <c r="E219" s="2">
        <v>0</v>
      </c>
      <c r="F219" s="13"/>
    </row>
    <row r="220" spans="2:6" ht="15" customHeight="1">
      <c r="B220" s="12"/>
      <c r="C220" s="2">
        <v>2</v>
      </c>
      <c r="D220" s="2">
        <f>-COS(D208)</f>
        <v>0.64811990106313078</v>
      </c>
      <c r="E220" s="2">
        <f>SIN(D208)</f>
        <v>-0.7615383075367369</v>
      </c>
      <c r="F220" s="13"/>
    </row>
    <row r="221" spans="2:6" ht="15" customHeight="1">
      <c r="B221" s="12"/>
      <c r="C221" s="7"/>
      <c r="D221" s="7"/>
      <c r="E221" s="7"/>
      <c r="F221" s="13"/>
    </row>
    <row r="222" spans="2:6" ht="15" customHeight="1">
      <c r="B222" s="12"/>
      <c r="C222" s="3" t="s">
        <v>13</v>
      </c>
      <c r="D222" s="3" t="s">
        <v>4</v>
      </c>
      <c r="E222" s="3" t="s">
        <v>5</v>
      </c>
      <c r="F222" s="13"/>
    </row>
    <row r="223" spans="2:6" ht="15" customHeight="1">
      <c r="B223" s="12"/>
      <c r="C223" s="2">
        <v>1</v>
      </c>
      <c r="D223" s="6">
        <v>0</v>
      </c>
      <c r="E223" s="6">
        <v>0</v>
      </c>
      <c r="F223" s="13"/>
    </row>
    <row r="224" spans="2:6" ht="15" customHeight="1">
      <c r="B224" s="12"/>
      <c r="C224" s="2">
        <v>2</v>
      </c>
      <c r="D224" s="6">
        <f>-COS(D211)</f>
        <v>0.9869242677917085</v>
      </c>
      <c r="E224" s="6">
        <f>SIN(D211)</f>
        <v>0.1611846445657901</v>
      </c>
      <c r="F224" s="13"/>
    </row>
    <row r="225" spans="2:6" ht="15" customHeight="1">
      <c r="B225" s="12"/>
      <c r="C225" s="7"/>
      <c r="D225" s="7"/>
      <c r="E225" s="7"/>
      <c r="F225" s="13"/>
    </row>
    <row r="226" spans="2:6" ht="15" customHeight="1">
      <c r="B226" s="12"/>
      <c r="C226" s="3" t="s">
        <v>14</v>
      </c>
      <c r="D226" s="3" t="s">
        <v>4</v>
      </c>
      <c r="E226" s="3" t="s">
        <v>5</v>
      </c>
      <c r="F226" s="13"/>
    </row>
    <row r="227" spans="2:6" ht="15" customHeight="1">
      <c r="B227" s="12"/>
      <c r="C227" s="2">
        <v>1</v>
      </c>
      <c r="D227" s="2">
        <v>0</v>
      </c>
      <c r="E227" s="2">
        <v>0</v>
      </c>
      <c r="F227" s="13"/>
    </row>
    <row r="228" spans="2:6" ht="15" customHeight="1">
      <c r="B228" s="12"/>
      <c r="C228" s="2">
        <v>2</v>
      </c>
      <c r="D228" s="2">
        <f ca="1">-COS(D216)</f>
        <v>1</v>
      </c>
      <c r="E228" s="2">
        <f ca="1">SIN(D216)</f>
        <v>1.22514845490862E-16</v>
      </c>
      <c r="F228" s="13"/>
    </row>
    <row r="229" spans="2:6" ht="15" customHeight="1">
      <c r="B229" s="14"/>
      <c r="C229" s="15"/>
      <c r="D229" s="15"/>
      <c r="E229" s="15"/>
      <c r="F229" s="16"/>
    </row>
    <row r="230" spans="2:6" ht="15" customHeight="1">
      <c r="B230" s="7"/>
      <c r="C230" s="7"/>
      <c r="D230" s="7"/>
      <c r="E230" s="7"/>
      <c r="F230" s="7"/>
    </row>
    <row r="231" spans="2:6" ht="15" customHeight="1">
      <c r="B231" s="9"/>
      <c r="C231" s="10"/>
      <c r="D231" s="10"/>
      <c r="E231" s="10"/>
      <c r="F231" s="11"/>
    </row>
    <row r="232" spans="2:6" ht="15" customHeight="1">
      <c r="B232" s="12"/>
      <c r="C232" s="332" t="s">
        <v>18</v>
      </c>
      <c r="D232" s="332"/>
      <c r="E232" s="332"/>
      <c r="F232" s="13"/>
    </row>
    <row r="233" spans="2:6" ht="15" customHeight="1">
      <c r="B233" s="12"/>
      <c r="C233" s="3" t="s">
        <v>9</v>
      </c>
      <c r="D233" s="3" t="s">
        <v>8</v>
      </c>
      <c r="E233" s="3" t="s">
        <v>7</v>
      </c>
      <c r="F233" s="13"/>
    </row>
    <row r="234" spans="2:6" ht="15" customHeight="1">
      <c r="B234" s="12"/>
      <c r="C234" s="1" t="s">
        <v>0</v>
      </c>
      <c r="D234" s="4">
        <v>0</v>
      </c>
      <c r="E234" s="4">
        <f>+D235-D234</f>
        <v>0.4</v>
      </c>
      <c r="F234" s="13"/>
    </row>
    <row r="235" spans="2:6" ht="15" customHeight="1">
      <c r="B235" s="12"/>
      <c r="C235" s="1" t="s">
        <v>1</v>
      </c>
      <c r="D235" s="4">
        <v>0.4</v>
      </c>
      <c r="E235" s="4">
        <f>+D236-D235</f>
        <v>0.4</v>
      </c>
      <c r="F235" s="13"/>
    </row>
    <row r="236" spans="2:6" ht="15" customHeight="1">
      <c r="B236" s="12"/>
      <c r="C236" s="1" t="s">
        <v>2</v>
      </c>
      <c r="D236" s="4">
        <v>0.8</v>
      </c>
      <c r="E236" s="4">
        <f>+D237-D236</f>
        <v>0.19999999999999996</v>
      </c>
      <c r="F236" s="13"/>
    </row>
    <row r="237" spans="2:6" ht="15" customHeight="1">
      <c r="B237" s="12"/>
      <c r="C237" s="1" t="s">
        <v>3</v>
      </c>
      <c r="D237" s="4">
        <v>1</v>
      </c>
      <c r="E237" s="4">
        <f>SUM(E234:E236)</f>
        <v>1</v>
      </c>
      <c r="F237" s="13"/>
    </row>
    <row r="238" spans="2:6" ht="15" customHeight="1">
      <c r="B238" s="12"/>
      <c r="C238" s="7"/>
      <c r="D238" s="7"/>
      <c r="E238" s="7"/>
      <c r="F238" s="13"/>
    </row>
    <row r="239" spans="2:6" ht="15" customHeight="1">
      <c r="B239" s="12"/>
      <c r="C239" s="1" t="s">
        <v>10</v>
      </c>
      <c r="D239" s="26">
        <f>'PARTICIPACION  - 2019'!T33</f>
        <v>0.97499999999999998</v>
      </c>
      <c r="E239" s="2" t="s">
        <v>24</v>
      </c>
      <c r="F239" s="40">
        <f>'PARTICIPACION  - 2019'!E25</f>
        <v>233972186</v>
      </c>
    </row>
    <row r="240" spans="2:6" ht="15" customHeight="1">
      <c r="B240" s="12"/>
      <c r="C240" s="1" t="s">
        <v>6</v>
      </c>
      <c r="D240" s="22">
        <f>+D239*PI()</f>
        <v>3.0630528372500483</v>
      </c>
      <c r="E240" s="2" t="s">
        <v>25</v>
      </c>
      <c r="F240" s="40">
        <f>'PARTICIPACION  - 2019'!E36</f>
        <v>178669903</v>
      </c>
    </row>
    <row r="241" spans="2:9" ht="15" customHeight="1">
      <c r="B241" s="12"/>
      <c r="C241" s="7"/>
      <c r="D241" s="5"/>
      <c r="E241" s="2"/>
      <c r="F241" s="8">
        <f>F240/F239</f>
        <v>0.76363736243418268</v>
      </c>
    </row>
    <row r="242" spans="2:9" ht="15" customHeight="1">
      <c r="B242" s="12"/>
      <c r="C242" s="1" t="s">
        <v>11</v>
      </c>
      <c r="D242" s="4">
        <f>'PARTICIPACION  - 2019'!E38</f>
        <v>0.76363736243418268</v>
      </c>
      <c r="E242" s="2" t="s">
        <v>26</v>
      </c>
      <c r="F242" s="38">
        <f>'PARTICIPACION  - 2019'!E11</f>
        <v>43711</v>
      </c>
    </row>
    <row r="243" spans="2:9" ht="15" customHeight="1">
      <c r="B243" s="12"/>
      <c r="C243" s="1" t="s">
        <v>6</v>
      </c>
      <c r="D243" s="22">
        <f>+D242*PI()</f>
        <v>2.3990375278299148</v>
      </c>
      <c r="E243" s="2" t="s">
        <v>31</v>
      </c>
      <c r="F243" s="38">
        <f>'PARTICIPACION  - 2019'!E12</f>
        <v>44086</v>
      </c>
    </row>
    <row r="244" spans="2:9" ht="15" customHeight="1">
      <c r="B244" s="12"/>
      <c r="C244" s="7"/>
      <c r="D244" s="5"/>
      <c r="E244" s="2" t="s">
        <v>32</v>
      </c>
      <c r="F244" s="38"/>
    </row>
    <row r="245" spans="2:9" ht="15" customHeight="1">
      <c r="B245" s="12"/>
      <c r="C245" s="1" t="s">
        <v>23</v>
      </c>
      <c r="D245" s="2">
        <f>IFERROR(F243-F242,"")</f>
        <v>375</v>
      </c>
      <c r="E245" s="7"/>
      <c r="F245" s="11"/>
    </row>
    <row r="246" spans="2:9" ht="15" customHeight="1">
      <c r="B246" s="12"/>
      <c r="C246" s="1" t="s">
        <v>22</v>
      </c>
      <c r="D246" s="2">
        <f ca="1">TODAY()-F242</f>
        <v>401</v>
      </c>
      <c r="E246" s="7"/>
      <c r="F246" s="13"/>
      <c r="G246" s="25"/>
      <c r="H246" s="25"/>
    </row>
    <row r="247" spans="2:9" ht="15" customHeight="1">
      <c r="B247" s="12"/>
      <c r="C247" s="1" t="s">
        <v>15</v>
      </c>
      <c r="D247" s="4">
        <f ca="1">IFERROR(IF((D246/D245)&gt;100%,100%,(D246/D245)),"")</f>
        <v>1</v>
      </c>
      <c r="E247" s="7"/>
      <c r="F247" s="13"/>
      <c r="I247" s="25"/>
    </row>
    <row r="248" spans="2:9" ht="15" customHeight="1">
      <c r="B248" s="12"/>
      <c r="C248" s="1" t="s">
        <v>6</v>
      </c>
      <c r="D248" s="2">
        <f ca="1">IFERROR(D247*PI(),"")</f>
        <v>3.1415926535897931</v>
      </c>
      <c r="E248" s="7"/>
      <c r="F248" s="29"/>
    </row>
    <row r="249" spans="2:9" ht="15" customHeight="1">
      <c r="B249" s="12"/>
      <c r="C249" s="7"/>
      <c r="D249" s="7"/>
      <c r="E249" s="7"/>
      <c r="F249" s="13"/>
    </row>
    <row r="250" spans="2:9" ht="15" customHeight="1">
      <c r="B250" s="12"/>
      <c r="C250" s="3" t="s">
        <v>12</v>
      </c>
      <c r="D250" s="3" t="s">
        <v>4</v>
      </c>
      <c r="E250" s="3" t="s">
        <v>5</v>
      </c>
      <c r="F250" s="13"/>
    </row>
    <row r="251" spans="2:9" ht="15" customHeight="1">
      <c r="B251" s="12"/>
      <c r="C251" s="2">
        <v>1</v>
      </c>
      <c r="D251" s="2">
        <v>0</v>
      </c>
      <c r="E251" s="2">
        <v>0</v>
      </c>
      <c r="F251" s="13"/>
    </row>
    <row r="252" spans="2:9" ht="15" customHeight="1">
      <c r="B252" s="12"/>
      <c r="C252" s="2">
        <v>2</v>
      </c>
      <c r="D252" s="2">
        <f>-COS(D240)</f>
        <v>0.99691733373312796</v>
      </c>
      <c r="E252" s="2">
        <f>SIN(D240)</f>
        <v>7.8459095727845068E-2</v>
      </c>
      <c r="F252" s="13"/>
    </row>
    <row r="253" spans="2:9" ht="15" customHeight="1">
      <c r="B253" s="12"/>
      <c r="C253" s="7"/>
      <c r="D253" s="7"/>
      <c r="E253" s="7"/>
      <c r="F253" s="13"/>
    </row>
    <row r="254" spans="2:9" ht="15" customHeight="1">
      <c r="B254" s="12"/>
      <c r="C254" s="3" t="s">
        <v>13</v>
      </c>
      <c r="D254" s="3" t="s">
        <v>4</v>
      </c>
      <c r="E254" s="3" t="s">
        <v>5</v>
      </c>
      <c r="F254" s="13"/>
    </row>
    <row r="255" spans="2:9" ht="15" customHeight="1">
      <c r="B255" s="12"/>
      <c r="C255" s="2">
        <v>1</v>
      </c>
      <c r="D255" s="6">
        <v>0</v>
      </c>
      <c r="E255" s="6">
        <v>0</v>
      </c>
      <c r="F255" s="13"/>
    </row>
    <row r="256" spans="2:9" ht="15" customHeight="1">
      <c r="B256" s="12"/>
      <c r="C256" s="2">
        <v>2</v>
      </c>
      <c r="D256" s="6">
        <f>-COS(D243)</f>
        <v>0.73674325958512499</v>
      </c>
      <c r="E256" s="6">
        <f>SIN(D243)</f>
        <v>0.67617258851264084</v>
      </c>
      <c r="F256" s="13"/>
    </row>
    <row r="257" spans="2:6" ht="15" customHeight="1">
      <c r="B257" s="12"/>
      <c r="C257" s="7"/>
      <c r="D257" s="7"/>
      <c r="E257" s="7"/>
      <c r="F257" s="13"/>
    </row>
    <row r="258" spans="2:6" ht="15" customHeight="1">
      <c r="B258" s="12"/>
      <c r="C258" s="3" t="s">
        <v>14</v>
      </c>
      <c r="D258" s="3" t="s">
        <v>4</v>
      </c>
      <c r="E258" s="3" t="s">
        <v>5</v>
      </c>
      <c r="F258" s="13"/>
    </row>
    <row r="259" spans="2:6" ht="15" customHeight="1">
      <c r="B259" s="12"/>
      <c r="C259" s="2">
        <v>1</v>
      </c>
      <c r="D259" s="2">
        <v>0</v>
      </c>
      <c r="E259" s="2">
        <v>0</v>
      </c>
      <c r="F259" s="13"/>
    </row>
    <row r="260" spans="2:6" ht="15" customHeight="1">
      <c r="B260" s="12"/>
      <c r="C260" s="2">
        <v>2</v>
      </c>
      <c r="D260" s="2">
        <f ca="1">IFERROR(-COS(D248),"")</f>
        <v>1</v>
      </c>
      <c r="E260" s="2">
        <f ca="1">IFERROR(SIN(D248),"")</f>
        <v>1.22514845490862E-16</v>
      </c>
      <c r="F260" s="13"/>
    </row>
    <row r="261" spans="2:6" ht="15" customHeight="1">
      <c r="B261" s="14"/>
      <c r="C261" s="15"/>
      <c r="D261" s="15"/>
      <c r="E261" s="15"/>
      <c r="F261" s="16"/>
    </row>
    <row r="262" spans="2:6" ht="15" customHeight="1">
      <c r="B262" s="7"/>
      <c r="C262" s="7"/>
      <c r="D262" s="7"/>
      <c r="E262" s="7"/>
      <c r="F262" s="7"/>
    </row>
    <row r="263" spans="2:6" ht="15" customHeight="1">
      <c r="B263" s="9"/>
      <c r="C263" s="10"/>
      <c r="D263" s="10"/>
      <c r="E263" s="10"/>
      <c r="F263" s="11"/>
    </row>
    <row r="264" spans="2:6" ht="15" customHeight="1">
      <c r="B264" s="12"/>
      <c r="C264" s="332" t="s">
        <v>173</v>
      </c>
      <c r="D264" s="332"/>
      <c r="E264" s="332"/>
      <c r="F264" s="13"/>
    </row>
    <row r="265" spans="2:6" ht="15" customHeight="1">
      <c r="B265" s="12"/>
      <c r="C265" s="3" t="s">
        <v>9</v>
      </c>
      <c r="D265" s="3" t="s">
        <v>8</v>
      </c>
      <c r="E265" s="3" t="s">
        <v>7</v>
      </c>
      <c r="F265" s="13"/>
    </row>
    <row r="266" spans="2:6" ht="15" customHeight="1">
      <c r="B266" s="12"/>
      <c r="C266" s="1" t="s">
        <v>0</v>
      </c>
      <c r="D266" s="4">
        <v>0</v>
      </c>
      <c r="E266" s="4">
        <f>+D267-D266</f>
        <v>0.4</v>
      </c>
      <c r="F266" s="13"/>
    </row>
    <row r="267" spans="2:6" ht="15" customHeight="1">
      <c r="B267" s="12"/>
      <c r="C267" s="1" t="s">
        <v>1</v>
      </c>
      <c r="D267" s="4">
        <v>0.4</v>
      </c>
      <c r="E267" s="4">
        <f>+D268-D267</f>
        <v>0.4</v>
      </c>
      <c r="F267" s="13"/>
    </row>
    <row r="268" spans="2:6" ht="15" customHeight="1">
      <c r="B268" s="12"/>
      <c r="C268" s="1" t="s">
        <v>2</v>
      </c>
      <c r="D268" s="4">
        <v>0.8</v>
      </c>
      <c r="E268" s="4">
        <f>+D269-D268</f>
        <v>0.19999999999999996</v>
      </c>
      <c r="F268" s="13"/>
    </row>
    <row r="269" spans="2:6" ht="15" customHeight="1">
      <c r="B269" s="12"/>
      <c r="C269" s="1" t="s">
        <v>3</v>
      </c>
      <c r="D269" s="4">
        <v>1</v>
      </c>
      <c r="E269" s="4">
        <f>SUM(E266:E268)</f>
        <v>1</v>
      </c>
      <c r="F269" s="13"/>
    </row>
    <row r="270" spans="2:6" ht="15" customHeight="1">
      <c r="B270" s="12"/>
      <c r="C270" s="7"/>
      <c r="D270" s="7"/>
      <c r="E270" s="7"/>
      <c r="F270" s="13"/>
    </row>
    <row r="271" spans="2:6" ht="15" customHeight="1">
      <c r="B271" s="12"/>
      <c r="C271" s="1" t="s">
        <v>10</v>
      </c>
      <c r="D271" s="28">
        <f>'SEGURIDAD 2019'!S9</f>
        <v>0.66666666666666674</v>
      </c>
      <c r="E271" s="2" t="s">
        <v>24</v>
      </c>
      <c r="F271" s="40">
        <f>'SEGURIDAD 2019'!E22</f>
        <v>507261290</v>
      </c>
    </row>
    <row r="272" spans="2:6" ht="15" customHeight="1">
      <c r="B272" s="12"/>
      <c r="C272" s="1" t="s">
        <v>6</v>
      </c>
      <c r="D272" s="22">
        <f>+D271*PI()</f>
        <v>2.0943951023931957</v>
      </c>
      <c r="E272" s="2" t="s">
        <v>25</v>
      </c>
      <c r="F272" s="40">
        <f>'SEGURIDAD 2019'!E37</f>
        <v>304603400</v>
      </c>
    </row>
    <row r="273" spans="2:6" ht="15" customHeight="1">
      <c r="B273" s="12"/>
      <c r="C273" s="7"/>
      <c r="D273" s="5"/>
      <c r="E273" s="2"/>
      <c r="F273" s="2">
        <f>F272/F271</f>
        <v>0.60048619124869551</v>
      </c>
    </row>
    <row r="274" spans="2:6" ht="15" customHeight="1">
      <c r="B274" s="12"/>
      <c r="C274" s="1" t="s">
        <v>11</v>
      </c>
      <c r="D274" s="4">
        <f>'SEGURIDAD 2019'!E39</f>
        <v>0.60048619124869551</v>
      </c>
      <c r="E274" s="5"/>
      <c r="F274" s="18"/>
    </row>
    <row r="275" spans="2:6" ht="15" customHeight="1">
      <c r="B275" s="12"/>
      <c r="C275" s="1" t="s">
        <v>6</v>
      </c>
      <c r="D275" s="22">
        <f>+D274*PI()</f>
        <v>1.8864830070090173</v>
      </c>
      <c r="E275" s="2" t="s">
        <v>26</v>
      </c>
      <c r="F275" s="38">
        <f>'SEGURIDAD 2019'!E11</f>
        <v>43509</v>
      </c>
    </row>
    <row r="276" spans="2:6" ht="15" customHeight="1">
      <c r="B276" s="12"/>
      <c r="C276" s="7"/>
      <c r="D276" s="5"/>
      <c r="E276" s="2" t="s">
        <v>31</v>
      </c>
      <c r="F276" s="38">
        <f>'SEGURIDAD 2019'!E12</f>
        <v>43963</v>
      </c>
    </row>
    <row r="277" spans="2:6" ht="15" customHeight="1">
      <c r="B277" s="12"/>
      <c r="C277" s="1" t="s">
        <v>23</v>
      </c>
      <c r="D277" s="2">
        <f>F276-F275</f>
        <v>454</v>
      </c>
      <c r="E277" s="7"/>
      <c r="F277" s="11"/>
    </row>
    <row r="278" spans="2:6" ht="15" customHeight="1">
      <c r="B278" s="12"/>
      <c r="C278" s="1" t="s">
        <v>22</v>
      </c>
      <c r="D278" s="2">
        <f ca="1">TODAY()-F275</f>
        <v>603</v>
      </c>
      <c r="E278" s="7"/>
      <c r="F278" s="13"/>
    </row>
    <row r="279" spans="2:6" ht="15" customHeight="1">
      <c r="B279" s="12"/>
      <c r="C279" s="1" t="s">
        <v>15</v>
      </c>
      <c r="D279" s="4">
        <f ca="1">IF((D278/D277)&gt;100%,100%,(D278/D277))</f>
        <v>1</v>
      </c>
      <c r="E279" s="7"/>
      <c r="F279" s="13"/>
    </row>
    <row r="280" spans="2:6" ht="15" customHeight="1">
      <c r="B280" s="12"/>
      <c r="C280" s="1" t="s">
        <v>6</v>
      </c>
      <c r="D280" s="2">
        <f ca="1">+D279*PI()</f>
        <v>3.1415926535897931</v>
      </c>
      <c r="E280" s="7"/>
      <c r="F280" s="29"/>
    </row>
    <row r="281" spans="2:6" ht="15" customHeight="1">
      <c r="B281" s="12"/>
      <c r="C281" s="7"/>
      <c r="D281" s="7"/>
      <c r="E281" s="7"/>
      <c r="F281" s="13"/>
    </row>
    <row r="282" spans="2:6" ht="15" customHeight="1">
      <c r="B282" s="12"/>
      <c r="C282" s="3" t="s">
        <v>12</v>
      </c>
      <c r="D282" s="3" t="s">
        <v>4</v>
      </c>
      <c r="E282" s="3" t="s">
        <v>5</v>
      </c>
      <c r="F282" s="13"/>
    </row>
    <row r="283" spans="2:6" ht="15" customHeight="1">
      <c r="B283" s="12"/>
      <c r="C283" s="2">
        <v>1</v>
      </c>
      <c r="D283" s="2">
        <v>0</v>
      </c>
      <c r="E283" s="2">
        <v>0</v>
      </c>
      <c r="F283" s="13"/>
    </row>
    <row r="284" spans="2:6" ht="15" customHeight="1">
      <c r="B284" s="12"/>
      <c r="C284" s="2">
        <v>2</v>
      </c>
      <c r="D284" s="2">
        <f>-COS(D272)</f>
        <v>0.50000000000000022</v>
      </c>
      <c r="E284" s="2">
        <f>SIN(D272)</f>
        <v>0.86602540378443849</v>
      </c>
      <c r="F284" s="13"/>
    </row>
    <row r="285" spans="2:6" ht="15" customHeight="1">
      <c r="B285" s="12"/>
      <c r="C285" s="7"/>
      <c r="D285" s="7"/>
      <c r="E285" s="7"/>
      <c r="F285" s="13"/>
    </row>
    <row r="286" spans="2:6" ht="15" customHeight="1">
      <c r="B286" s="12"/>
      <c r="C286" s="3" t="s">
        <v>13</v>
      </c>
      <c r="D286" s="3" t="s">
        <v>4</v>
      </c>
      <c r="E286" s="3" t="s">
        <v>5</v>
      </c>
      <c r="F286" s="13"/>
    </row>
    <row r="287" spans="2:6" ht="15" customHeight="1">
      <c r="B287" s="12"/>
      <c r="C287" s="2">
        <v>1</v>
      </c>
      <c r="D287" s="6">
        <v>0</v>
      </c>
      <c r="E287" s="6">
        <v>0</v>
      </c>
      <c r="F287" s="13"/>
    </row>
    <row r="288" spans="2:6" ht="15" customHeight="1">
      <c r="B288" s="12"/>
      <c r="C288" s="2">
        <v>2</v>
      </c>
      <c r="D288" s="6">
        <f>-COS(D275)</f>
        <v>0.3104692911935174</v>
      </c>
      <c r="E288" s="6">
        <f>SIN(D275)</f>
        <v>0.95058340992560719</v>
      </c>
      <c r="F288" s="13"/>
    </row>
    <row r="289" spans="2:6" ht="15" customHeight="1">
      <c r="B289" s="12"/>
      <c r="C289" s="7"/>
      <c r="D289" s="7"/>
      <c r="E289" s="7"/>
      <c r="F289" s="13"/>
    </row>
    <row r="290" spans="2:6" ht="15" customHeight="1">
      <c r="B290" s="12"/>
      <c r="C290" s="3" t="s">
        <v>14</v>
      </c>
      <c r="D290" s="3" t="s">
        <v>4</v>
      </c>
      <c r="E290" s="3" t="s">
        <v>5</v>
      </c>
      <c r="F290" s="13"/>
    </row>
    <row r="291" spans="2:6" ht="15" customHeight="1">
      <c r="B291" s="12"/>
      <c r="C291" s="2">
        <v>1</v>
      </c>
      <c r="D291" s="2">
        <v>0</v>
      </c>
      <c r="E291" s="2">
        <v>0</v>
      </c>
      <c r="F291" s="13"/>
    </row>
    <row r="292" spans="2:6" ht="15" customHeight="1">
      <c r="B292" s="12"/>
      <c r="C292" s="2">
        <v>2</v>
      </c>
      <c r="D292" s="2">
        <f ca="1">-COS(D280)</f>
        <v>1</v>
      </c>
      <c r="E292" s="2">
        <f ca="1">SIN(D280)</f>
        <v>1.22514845490862E-16</v>
      </c>
      <c r="F292" s="13"/>
    </row>
    <row r="293" spans="2:6" ht="15" customHeight="1">
      <c r="B293" s="14"/>
      <c r="C293" s="15"/>
      <c r="D293" s="15"/>
      <c r="E293" s="15"/>
      <c r="F293" s="16"/>
    </row>
    <row r="294" spans="2:6" ht="15" customHeight="1">
      <c r="B294" s="7"/>
      <c r="C294" s="7"/>
      <c r="D294" s="7"/>
      <c r="E294" s="7"/>
      <c r="F294" s="7"/>
    </row>
    <row r="295" spans="2:6" ht="15" customHeight="1">
      <c r="B295" s="9"/>
      <c r="C295" s="10"/>
      <c r="D295" s="10"/>
      <c r="E295" s="10"/>
      <c r="F295" s="11"/>
    </row>
    <row r="296" spans="2:6" ht="15" customHeight="1">
      <c r="B296" s="12"/>
      <c r="C296" s="332" t="s">
        <v>46</v>
      </c>
      <c r="D296" s="332"/>
      <c r="E296" s="332"/>
      <c r="F296" s="13"/>
    </row>
    <row r="297" spans="2:6" ht="15" customHeight="1">
      <c r="B297" s="12"/>
      <c r="C297" s="3" t="s">
        <v>9</v>
      </c>
      <c r="D297" s="3" t="s">
        <v>8</v>
      </c>
      <c r="E297" s="3" t="s">
        <v>7</v>
      </c>
      <c r="F297" s="13"/>
    </row>
    <row r="298" spans="2:6" ht="15" customHeight="1">
      <c r="B298" s="12"/>
      <c r="C298" s="1" t="s">
        <v>0</v>
      </c>
      <c r="D298" s="4">
        <v>0</v>
      </c>
      <c r="E298" s="4">
        <f>+D299-D298</f>
        <v>0.4</v>
      </c>
      <c r="F298" s="13"/>
    </row>
    <row r="299" spans="2:6" ht="15" customHeight="1">
      <c r="B299" s="12"/>
      <c r="C299" s="1" t="s">
        <v>1</v>
      </c>
      <c r="D299" s="4">
        <v>0.4</v>
      </c>
      <c r="E299" s="4">
        <f>+D300-D299</f>
        <v>0.4</v>
      </c>
      <c r="F299" s="13"/>
    </row>
    <row r="300" spans="2:6" ht="15" customHeight="1">
      <c r="B300" s="12"/>
      <c r="C300" s="1" t="s">
        <v>2</v>
      </c>
      <c r="D300" s="4">
        <v>0.8</v>
      </c>
      <c r="E300" s="4">
        <f>+D301-D300</f>
        <v>0.19999999999999996</v>
      </c>
      <c r="F300" s="13"/>
    </row>
    <row r="301" spans="2:6" ht="15" customHeight="1">
      <c r="B301" s="12"/>
      <c r="C301" s="1" t="s">
        <v>3</v>
      </c>
      <c r="D301" s="4">
        <v>1</v>
      </c>
      <c r="E301" s="4">
        <f>SUM(E298:E300)</f>
        <v>1</v>
      </c>
      <c r="F301" s="13"/>
    </row>
    <row r="302" spans="2:6" ht="15" customHeight="1">
      <c r="B302" s="12"/>
      <c r="C302" s="7"/>
      <c r="D302" s="7"/>
      <c r="E302" s="7"/>
      <c r="F302" s="13"/>
    </row>
    <row r="303" spans="2:6" ht="15" customHeight="1">
      <c r="B303" s="12"/>
      <c r="C303" s="1" t="s">
        <v>10</v>
      </c>
      <c r="D303" s="47">
        <f>'EDUCACIÓN - 2019'!U9</f>
        <v>1</v>
      </c>
      <c r="E303" s="2" t="s">
        <v>24</v>
      </c>
      <c r="F303" s="46">
        <f>'EDUCACIÓN - 2019'!E22</f>
        <v>400000000</v>
      </c>
    </row>
    <row r="304" spans="2:6" ht="15" customHeight="1">
      <c r="B304" s="12"/>
      <c r="C304" s="1" t="s">
        <v>6</v>
      </c>
      <c r="D304" s="22">
        <f>+D303*PI()</f>
        <v>3.1415926535897931</v>
      </c>
      <c r="E304" s="2" t="s">
        <v>25</v>
      </c>
      <c r="F304" s="40">
        <f>'EDUCACIÓN - 2019'!E26</f>
        <v>0</v>
      </c>
    </row>
    <row r="305" spans="2:6" ht="15" customHeight="1">
      <c r="B305" s="12"/>
      <c r="C305" s="7"/>
      <c r="D305" s="5"/>
      <c r="E305" s="2"/>
      <c r="F305" s="48">
        <f>F304/F303</f>
        <v>0</v>
      </c>
    </row>
    <row r="306" spans="2:6" ht="15" customHeight="1">
      <c r="B306" s="12"/>
      <c r="C306" s="1" t="s">
        <v>11</v>
      </c>
      <c r="D306" s="49">
        <f>'EDUCACIÓN - 2019'!E28</f>
        <v>0</v>
      </c>
      <c r="E306" s="44"/>
      <c r="F306" s="45"/>
    </row>
    <row r="307" spans="2:6" ht="15" customHeight="1">
      <c r="B307" s="12"/>
      <c r="C307" s="1" t="s">
        <v>6</v>
      </c>
      <c r="D307" s="2">
        <f>+D306*PI()</f>
        <v>0</v>
      </c>
      <c r="E307" s="2" t="s">
        <v>26</v>
      </c>
      <c r="F307" s="38">
        <f>'EDUCACIÓN - 2019'!E11</f>
        <v>43718</v>
      </c>
    </row>
    <row r="308" spans="2:6" ht="15" customHeight="1">
      <c r="B308" s="12"/>
      <c r="C308" s="7"/>
      <c r="D308" s="2"/>
      <c r="E308" s="41" t="s">
        <v>31</v>
      </c>
      <c r="F308" s="38">
        <f>'EDUCACIÓN - 2019'!E12</f>
        <v>43919</v>
      </c>
    </row>
    <row r="309" spans="2:6" ht="15" customHeight="1">
      <c r="B309" s="12"/>
      <c r="C309" s="30" t="s">
        <v>23</v>
      </c>
      <c r="D309" s="2">
        <f>F308-F307</f>
        <v>201</v>
      </c>
      <c r="E309" s="7"/>
      <c r="F309" s="13"/>
    </row>
    <row r="310" spans="2:6" ht="15" customHeight="1">
      <c r="B310" s="12"/>
      <c r="C310" s="30" t="s">
        <v>22</v>
      </c>
      <c r="D310" s="2">
        <f ca="1">TODAY()-F307</f>
        <v>394</v>
      </c>
      <c r="E310" s="7"/>
      <c r="F310" s="13"/>
    </row>
    <row r="311" spans="2:6" ht="15" customHeight="1">
      <c r="B311" s="12"/>
      <c r="C311" s="30" t="s">
        <v>15</v>
      </c>
      <c r="D311" s="4">
        <f ca="1">IF((D310/D309)&gt;100%,100%,(D310/D309))</f>
        <v>1</v>
      </c>
      <c r="E311" s="35"/>
      <c r="F311" s="34"/>
    </row>
    <row r="312" spans="2:6" ht="15" customHeight="1">
      <c r="B312" s="12"/>
      <c r="C312" s="30" t="s">
        <v>6</v>
      </c>
      <c r="D312" s="2">
        <f ca="1">+D311*PI()</f>
        <v>3.1415926535897931</v>
      </c>
      <c r="E312" s="35"/>
      <c r="F312" s="36"/>
    </row>
    <row r="313" spans="2:6" ht="15" customHeight="1">
      <c r="B313" s="12"/>
      <c r="C313" s="7"/>
      <c r="D313" s="7"/>
      <c r="E313" s="7"/>
      <c r="F313" s="13"/>
    </row>
    <row r="314" spans="2:6" ht="15" customHeight="1">
      <c r="B314" s="12"/>
      <c r="C314" s="3" t="s">
        <v>12</v>
      </c>
      <c r="D314" s="3" t="s">
        <v>4</v>
      </c>
      <c r="E314" s="3" t="s">
        <v>5</v>
      </c>
      <c r="F314" s="13"/>
    </row>
    <row r="315" spans="2:6" ht="15" customHeight="1">
      <c r="B315" s="12"/>
      <c r="C315" s="2">
        <v>1</v>
      </c>
      <c r="D315" s="2">
        <v>0</v>
      </c>
      <c r="E315" s="2">
        <v>0</v>
      </c>
      <c r="F315" s="13"/>
    </row>
    <row r="316" spans="2:6" ht="15" customHeight="1">
      <c r="B316" s="12"/>
      <c r="C316" s="2">
        <v>2</v>
      </c>
      <c r="D316" s="2">
        <f>-COS(D304)</f>
        <v>1</v>
      </c>
      <c r="E316" s="2">
        <f>SIN(D304)</f>
        <v>1.22514845490862E-16</v>
      </c>
      <c r="F316" s="13"/>
    </row>
    <row r="317" spans="2:6" ht="15" customHeight="1">
      <c r="B317" s="12"/>
      <c r="C317" s="7"/>
      <c r="D317" s="7"/>
      <c r="E317" s="7"/>
      <c r="F317" s="13"/>
    </row>
    <row r="318" spans="2:6" ht="15" customHeight="1">
      <c r="B318" s="12"/>
      <c r="C318" s="3" t="s">
        <v>13</v>
      </c>
      <c r="D318" s="3" t="s">
        <v>4</v>
      </c>
      <c r="E318" s="3" t="s">
        <v>5</v>
      </c>
      <c r="F318" s="13"/>
    </row>
    <row r="319" spans="2:6" ht="15" customHeight="1">
      <c r="B319" s="12"/>
      <c r="C319" s="2">
        <v>1</v>
      </c>
      <c r="D319" s="6">
        <v>0</v>
      </c>
      <c r="E319" s="6">
        <v>0</v>
      </c>
      <c r="F319" s="13"/>
    </row>
    <row r="320" spans="2:6" ht="15" customHeight="1">
      <c r="B320" s="12"/>
      <c r="C320" s="2">
        <v>2</v>
      </c>
      <c r="D320" s="6">
        <f>-COS(D307)</f>
        <v>-1</v>
      </c>
      <c r="E320" s="6">
        <f>SIN(D307)</f>
        <v>0</v>
      </c>
      <c r="F320" s="13"/>
    </row>
    <row r="321" spans="2:6" ht="15" customHeight="1">
      <c r="B321" s="12"/>
      <c r="C321" s="7"/>
      <c r="D321" s="7"/>
      <c r="E321" s="7"/>
      <c r="F321" s="13"/>
    </row>
    <row r="322" spans="2:6" ht="15" customHeight="1">
      <c r="B322" s="12"/>
      <c r="C322" s="3" t="s">
        <v>14</v>
      </c>
      <c r="D322" s="3" t="s">
        <v>4</v>
      </c>
      <c r="E322" s="3" t="s">
        <v>5</v>
      </c>
      <c r="F322" s="13"/>
    </row>
    <row r="323" spans="2:6" ht="15" customHeight="1">
      <c r="B323" s="12"/>
      <c r="C323" s="2">
        <v>1</v>
      </c>
      <c r="D323" s="2">
        <v>0</v>
      </c>
      <c r="E323" s="2">
        <v>0</v>
      </c>
      <c r="F323" s="13"/>
    </row>
    <row r="324" spans="2:6" ht="15" customHeight="1">
      <c r="B324" s="12"/>
      <c r="C324" s="2">
        <v>2</v>
      </c>
      <c r="D324" s="2">
        <f ca="1">-COS(D312)</f>
        <v>1</v>
      </c>
      <c r="E324" s="2">
        <f ca="1">SIN(D312)</f>
        <v>1.22514845490862E-16</v>
      </c>
      <c r="F324" s="13"/>
    </row>
    <row r="325" spans="2:6" ht="15" customHeight="1">
      <c r="B325" s="14"/>
      <c r="C325" s="15"/>
      <c r="D325" s="15"/>
      <c r="E325" s="15"/>
      <c r="F325" s="16"/>
    </row>
    <row r="328" spans="2:6">
      <c r="B328" s="9"/>
      <c r="C328" s="10"/>
      <c r="D328" s="10"/>
      <c r="E328" s="10"/>
      <c r="F328" s="11"/>
    </row>
    <row r="329" spans="2:6">
      <c r="B329" s="12"/>
      <c r="C329" s="325" t="s">
        <v>55</v>
      </c>
      <c r="D329" s="325"/>
      <c r="E329" s="325"/>
      <c r="F329" s="13"/>
    </row>
    <row r="330" spans="2:6">
      <c r="B330" s="12"/>
      <c r="C330" s="23" t="s">
        <v>9</v>
      </c>
      <c r="D330" s="23" t="s">
        <v>8</v>
      </c>
      <c r="E330" s="23" t="s">
        <v>7</v>
      </c>
      <c r="F330" s="13"/>
    </row>
    <row r="331" spans="2:6">
      <c r="B331" s="12"/>
      <c r="C331" s="1" t="s">
        <v>0</v>
      </c>
      <c r="D331" s="4">
        <v>0</v>
      </c>
      <c r="E331" s="4">
        <f>+D332-D331</f>
        <v>0.4</v>
      </c>
      <c r="F331" s="13"/>
    </row>
    <row r="332" spans="2:6">
      <c r="B332" s="12"/>
      <c r="C332" s="1" t="s">
        <v>1</v>
      </c>
      <c r="D332" s="4">
        <v>0.4</v>
      </c>
      <c r="E332" s="4">
        <f>+D333-D332</f>
        <v>0.4</v>
      </c>
      <c r="F332" s="13"/>
    </row>
    <row r="333" spans="2:6">
      <c r="B333" s="12"/>
      <c r="C333" s="1" t="s">
        <v>2</v>
      </c>
      <c r="D333" s="4">
        <v>0.8</v>
      </c>
      <c r="E333" s="4">
        <f>+D334-D333</f>
        <v>0.19999999999999996</v>
      </c>
      <c r="F333" s="13"/>
    </row>
    <row r="334" spans="2:6">
      <c r="B334" s="12"/>
      <c r="C334" s="1" t="s">
        <v>3</v>
      </c>
      <c r="D334" s="4">
        <v>1</v>
      </c>
      <c r="E334" s="4">
        <f>SUM(E331:E333)</f>
        <v>1</v>
      </c>
      <c r="F334" s="13"/>
    </row>
    <row r="335" spans="2:6">
      <c r="B335" s="12"/>
      <c r="C335" s="7"/>
      <c r="D335" s="7"/>
      <c r="E335" s="7"/>
      <c r="F335" s="13"/>
    </row>
    <row r="336" spans="2:6">
      <c r="B336" s="12"/>
      <c r="C336" s="1" t="s">
        <v>10</v>
      </c>
      <c r="D336" s="28">
        <f>'BUEN TRATO 2019'!N22</f>
        <v>0.67878787878787883</v>
      </c>
      <c r="E336" s="2" t="s">
        <v>24</v>
      </c>
      <c r="F336" s="40">
        <f>'BUEN TRATO 2019'!E22</f>
        <v>115370500</v>
      </c>
    </row>
    <row r="337" spans="2:6">
      <c r="B337" s="12"/>
      <c r="C337" s="1" t="s">
        <v>6</v>
      </c>
      <c r="D337" s="22">
        <f>+D336*PI()</f>
        <v>2.132475013345799</v>
      </c>
      <c r="E337" s="2" t="s">
        <v>25</v>
      </c>
      <c r="F337" s="40">
        <f>'BUEN TRATO 2019'!E30</f>
        <v>42135877</v>
      </c>
    </row>
    <row r="338" spans="2:6">
      <c r="B338" s="12"/>
      <c r="C338" s="7"/>
      <c r="D338" s="5"/>
      <c r="E338" s="2"/>
      <c r="F338" s="8">
        <f>+F337/F336</f>
        <v>0.3652222795255286</v>
      </c>
    </row>
    <row r="339" spans="2:6">
      <c r="B339" s="12"/>
      <c r="C339" s="1" t="s">
        <v>11</v>
      </c>
      <c r="D339" s="4">
        <f>'BUEN TRATO 2019'!E32</f>
        <v>0.3652222795255286</v>
      </c>
      <c r="E339" s="5"/>
      <c r="F339" s="18"/>
    </row>
    <row r="340" spans="2:6">
      <c r="B340" s="12"/>
      <c r="C340" s="1" t="s">
        <v>6</v>
      </c>
      <c r="D340" s="22">
        <f>+D339*PI()</f>
        <v>1.1473796302847186</v>
      </c>
      <c r="E340" s="2" t="s">
        <v>26</v>
      </c>
      <c r="F340" s="38">
        <v>43739</v>
      </c>
    </row>
    <row r="341" spans="2:6">
      <c r="B341" s="12"/>
      <c r="C341" s="7"/>
      <c r="D341" s="5"/>
      <c r="E341" s="2" t="s">
        <v>31</v>
      </c>
      <c r="F341" s="38">
        <f>+'BUEN TRATO 2019'!E12</f>
        <v>44087</v>
      </c>
    </row>
    <row r="342" spans="2:6">
      <c r="B342" s="12"/>
      <c r="C342" s="1" t="s">
        <v>23</v>
      </c>
      <c r="D342" s="2">
        <f>IFERROR(F341-F340,"")</f>
        <v>348</v>
      </c>
      <c r="E342" s="7"/>
      <c r="F342" s="33"/>
    </row>
    <row r="343" spans="2:6">
      <c r="B343" s="12"/>
      <c r="C343" s="1" t="s">
        <v>22</v>
      </c>
      <c r="D343" s="2">
        <f ca="1">TODAY()-F340</f>
        <v>373</v>
      </c>
      <c r="E343" s="7"/>
      <c r="F343" s="34"/>
    </row>
    <row r="344" spans="2:6">
      <c r="B344" s="12"/>
      <c r="C344" s="1" t="s">
        <v>15</v>
      </c>
      <c r="D344" s="4">
        <f ca="1">IFERROR(IF((D343/D342)&gt;100%,100%,(D343/D342)),"")</f>
        <v>1</v>
      </c>
      <c r="E344" s="7"/>
      <c r="F344" s="13"/>
    </row>
    <row r="345" spans="2:6">
      <c r="B345" s="12"/>
      <c r="C345" s="1" t="s">
        <v>6</v>
      </c>
      <c r="D345" s="2">
        <f ca="1">IFERROR(D344*PI(),"")</f>
        <v>3.1415926535897931</v>
      </c>
      <c r="E345" s="7"/>
      <c r="F345" s="29"/>
    </row>
    <row r="346" spans="2:6">
      <c r="B346" s="12"/>
      <c r="C346" s="7"/>
      <c r="D346" s="7"/>
      <c r="E346" s="7"/>
      <c r="F346" s="13"/>
    </row>
    <row r="347" spans="2:6">
      <c r="B347" s="12"/>
      <c r="C347" s="23" t="s">
        <v>12</v>
      </c>
      <c r="D347" s="23" t="s">
        <v>4</v>
      </c>
      <c r="E347" s="23" t="s">
        <v>5</v>
      </c>
      <c r="F347" s="13"/>
    </row>
    <row r="348" spans="2:6">
      <c r="B348" s="12"/>
      <c r="C348" s="2">
        <v>1</v>
      </c>
      <c r="D348" s="2">
        <v>0</v>
      </c>
      <c r="E348" s="2">
        <v>0</v>
      </c>
      <c r="F348" s="13"/>
    </row>
    <row r="349" spans="2:6">
      <c r="B349" s="12"/>
      <c r="C349" s="2">
        <v>2</v>
      </c>
      <c r="D349" s="2">
        <f>-COS(D337)</f>
        <v>0.53260772457479988</v>
      </c>
      <c r="E349" s="2">
        <f>SIN(D337)</f>
        <v>0.84636222252842441</v>
      </c>
      <c r="F349" s="13"/>
    </row>
    <row r="350" spans="2:6">
      <c r="B350" s="12"/>
      <c r="C350" s="7"/>
      <c r="D350" s="7"/>
      <c r="E350" s="7"/>
      <c r="F350" s="13"/>
    </row>
    <row r="351" spans="2:6">
      <c r="B351" s="12"/>
      <c r="C351" s="23" t="s">
        <v>13</v>
      </c>
      <c r="D351" s="23" t="s">
        <v>4</v>
      </c>
      <c r="E351" s="23" t="s">
        <v>5</v>
      </c>
      <c r="F351" s="13"/>
    </row>
    <row r="352" spans="2:6">
      <c r="B352" s="12"/>
      <c r="C352" s="2">
        <v>1</v>
      </c>
      <c r="D352" s="6">
        <v>0</v>
      </c>
      <c r="E352" s="6">
        <v>0</v>
      </c>
      <c r="F352" s="13"/>
    </row>
    <row r="353" spans="2:6">
      <c r="B353" s="12"/>
      <c r="C353" s="2">
        <v>2</v>
      </c>
      <c r="D353" s="6">
        <f>-COS(D340)</f>
        <v>-0.41087781472778784</v>
      </c>
      <c r="E353" s="6">
        <f>SIN(D340)</f>
        <v>0.91169041969547848</v>
      </c>
      <c r="F353" s="13"/>
    </row>
    <row r="354" spans="2:6">
      <c r="B354" s="12"/>
      <c r="C354" s="7"/>
      <c r="D354" s="7"/>
      <c r="E354" s="7"/>
      <c r="F354" s="13"/>
    </row>
    <row r="355" spans="2:6">
      <c r="B355" s="12"/>
      <c r="C355" s="23" t="s">
        <v>14</v>
      </c>
      <c r="D355" s="23" t="s">
        <v>4</v>
      </c>
      <c r="E355" s="23" t="s">
        <v>5</v>
      </c>
      <c r="F355" s="13"/>
    </row>
    <row r="356" spans="2:6">
      <c r="B356" s="12"/>
      <c r="C356" s="2">
        <v>1</v>
      </c>
      <c r="D356" s="2">
        <v>0</v>
      </c>
      <c r="E356" s="2">
        <v>0</v>
      </c>
      <c r="F356" s="13"/>
    </row>
    <row r="357" spans="2:6">
      <c r="B357" s="12"/>
      <c r="C357" s="2">
        <v>2</v>
      </c>
      <c r="D357" s="2">
        <f ca="1">IFERROR(-COS(D345),"")</f>
        <v>1</v>
      </c>
      <c r="E357" s="2">
        <f ca="1">IFERROR(SIN(D345),"")</f>
        <v>1.22514845490862E-16</v>
      </c>
      <c r="F357" s="13"/>
    </row>
    <row r="358" spans="2:6">
      <c r="B358" s="14"/>
      <c r="C358" s="15"/>
      <c r="D358" s="15"/>
      <c r="E358" s="15"/>
      <c r="F358" s="16"/>
    </row>
    <row r="361" spans="2:6">
      <c r="B361" s="9"/>
      <c r="C361" s="10"/>
      <c r="D361" s="10"/>
      <c r="E361" s="10"/>
      <c r="F361" s="11"/>
    </row>
    <row r="362" spans="2:6">
      <c r="B362" s="12"/>
      <c r="C362" s="325" t="s">
        <v>191</v>
      </c>
      <c r="D362" s="325"/>
      <c r="E362" s="325"/>
      <c r="F362" s="13"/>
    </row>
    <row r="363" spans="2:6">
      <c r="B363" s="12"/>
      <c r="C363" s="23" t="s">
        <v>9</v>
      </c>
      <c r="D363" s="23" t="s">
        <v>8</v>
      </c>
      <c r="E363" s="23" t="s">
        <v>7</v>
      </c>
      <c r="F363" s="13"/>
    </row>
    <row r="364" spans="2:6">
      <c r="B364" s="12"/>
      <c r="C364" s="1" t="s">
        <v>0</v>
      </c>
      <c r="D364" s="4">
        <v>0</v>
      </c>
      <c r="E364" s="4">
        <f>+D365-D364</f>
        <v>0.4</v>
      </c>
      <c r="F364" s="13"/>
    </row>
    <row r="365" spans="2:6">
      <c r="B365" s="12"/>
      <c r="C365" s="1" t="s">
        <v>1</v>
      </c>
      <c r="D365" s="4">
        <v>0.4</v>
      </c>
      <c r="E365" s="4">
        <f>+D366-D365</f>
        <v>0.4</v>
      </c>
      <c r="F365" s="13"/>
    </row>
    <row r="366" spans="2:6">
      <c r="B366" s="12"/>
      <c r="C366" s="1" t="s">
        <v>2</v>
      </c>
      <c r="D366" s="4">
        <v>0.8</v>
      </c>
      <c r="E366" s="4">
        <f>+D367-D366</f>
        <v>0.19999999999999996</v>
      </c>
      <c r="F366" s="13"/>
    </row>
    <row r="367" spans="2:6">
      <c r="B367" s="12"/>
      <c r="C367" s="1" t="s">
        <v>3</v>
      </c>
      <c r="D367" s="4">
        <v>1</v>
      </c>
      <c r="E367" s="4">
        <f>SUM(E364:E366)</f>
        <v>1</v>
      </c>
      <c r="F367" s="13"/>
    </row>
    <row r="368" spans="2:6">
      <c r="B368" s="12"/>
      <c r="C368" s="7"/>
      <c r="D368" s="7"/>
      <c r="E368" s="7"/>
      <c r="F368" s="13"/>
    </row>
    <row r="369" spans="2:6">
      <c r="B369" s="12"/>
      <c r="C369" s="1" t="s">
        <v>10</v>
      </c>
      <c r="D369" s="28">
        <f>+'DOTACIÓN JARDINES 2019'!S10</f>
        <v>0.33333333333333337</v>
      </c>
      <c r="E369" s="172" t="s">
        <v>24</v>
      </c>
      <c r="F369" s="40">
        <f>+'DOTACIÓN JARDINES 2019'!E24</f>
        <v>278847342.92000002</v>
      </c>
    </row>
    <row r="370" spans="2:6">
      <c r="B370" s="12"/>
      <c r="C370" s="1" t="s">
        <v>6</v>
      </c>
      <c r="D370" s="22">
        <f>+D369*PI()</f>
        <v>1.0471975511965979</v>
      </c>
      <c r="E370" s="172" t="s">
        <v>25</v>
      </c>
      <c r="F370" s="40">
        <f>+'DOTACIÓN JARDINES 2019'!E30</f>
        <v>0</v>
      </c>
    </row>
    <row r="371" spans="2:6">
      <c r="B371" s="12"/>
      <c r="C371" s="7"/>
      <c r="D371" s="5"/>
      <c r="E371" s="172"/>
      <c r="F371" s="8">
        <f>+F370/F369</f>
        <v>0</v>
      </c>
    </row>
    <row r="372" spans="2:6">
      <c r="B372" s="12"/>
      <c r="C372" s="1" t="s">
        <v>11</v>
      </c>
      <c r="D372" s="4">
        <f>+'DOTACIÓN JARDINES 2019'!E30</f>
        <v>0</v>
      </c>
      <c r="E372" s="5"/>
      <c r="F372" s="18"/>
    </row>
    <row r="373" spans="2:6">
      <c r="B373" s="12"/>
      <c r="C373" s="1" t="s">
        <v>6</v>
      </c>
      <c r="D373" s="22">
        <f>+D372*PI()</f>
        <v>0</v>
      </c>
      <c r="E373" s="172" t="s">
        <v>26</v>
      </c>
      <c r="F373" s="38">
        <f>+'DOTACIÓN JARDINES 2019'!E11</f>
        <v>43788</v>
      </c>
    </row>
    <row r="374" spans="2:6">
      <c r="B374" s="12"/>
      <c r="C374" s="7"/>
      <c r="D374" s="5"/>
      <c r="E374" s="172" t="s">
        <v>31</v>
      </c>
      <c r="F374" s="38">
        <f>+'DOTACIÓN JARDINES 2019'!E12</f>
        <v>44149</v>
      </c>
    </row>
    <row r="375" spans="2:6">
      <c r="B375" s="12"/>
      <c r="C375" s="1" t="s">
        <v>23</v>
      </c>
      <c r="D375" s="172">
        <f>IFERROR(F374-F373,"")</f>
        <v>361</v>
      </c>
      <c r="E375" s="7"/>
      <c r="F375" s="33"/>
    </row>
    <row r="376" spans="2:6">
      <c r="B376" s="12"/>
      <c r="C376" s="1" t="s">
        <v>22</v>
      </c>
      <c r="D376" s="38">
        <f ca="1">TODAY()-F373</f>
        <v>324</v>
      </c>
      <c r="E376" s="7"/>
      <c r="F376" s="34"/>
    </row>
    <row r="377" spans="2:6">
      <c r="B377" s="12"/>
      <c r="C377" s="1" t="s">
        <v>15</v>
      </c>
      <c r="D377" s="4">
        <f ca="1">+'DOTACIÓN JARDINES 2019'!E18</f>
        <v>0.89750692520775621</v>
      </c>
      <c r="E377" s="7"/>
      <c r="F377" s="13"/>
    </row>
    <row r="378" spans="2:6">
      <c r="B378" s="12"/>
      <c r="C378" s="1" t="s">
        <v>6</v>
      </c>
      <c r="D378" s="172">
        <f ca="1">IFERROR(D377*PI(),"")</f>
        <v>2.819601162778651</v>
      </c>
      <c r="E378" s="7"/>
      <c r="F378" s="29"/>
    </row>
    <row r="379" spans="2:6">
      <c r="B379" s="12"/>
      <c r="C379" s="7"/>
      <c r="D379" s="7"/>
      <c r="E379" s="7"/>
      <c r="F379" s="13"/>
    </row>
    <row r="380" spans="2:6">
      <c r="B380" s="12"/>
      <c r="C380" s="23" t="s">
        <v>12</v>
      </c>
      <c r="D380" s="23" t="s">
        <v>4</v>
      </c>
      <c r="E380" s="23" t="s">
        <v>5</v>
      </c>
      <c r="F380" s="13"/>
    </row>
    <row r="381" spans="2:6">
      <c r="B381" s="12"/>
      <c r="C381" s="172">
        <v>1</v>
      </c>
      <c r="D381" s="172">
        <v>0</v>
      </c>
      <c r="E381" s="172">
        <v>0</v>
      </c>
      <c r="F381" s="13"/>
    </row>
    <row r="382" spans="2:6">
      <c r="B382" s="12"/>
      <c r="C382" s="172">
        <v>2</v>
      </c>
      <c r="D382" s="172">
        <f>-COS(D370)</f>
        <v>-0.49999999999999989</v>
      </c>
      <c r="E382" s="172">
        <f>SIN(D370)</f>
        <v>0.86602540378443871</v>
      </c>
      <c r="F382" s="13"/>
    </row>
    <row r="383" spans="2:6">
      <c r="B383" s="12"/>
      <c r="C383" s="7"/>
      <c r="D383" s="7"/>
      <c r="E383" s="7"/>
      <c r="F383" s="13"/>
    </row>
    <row r="384" spans="2:6">
      <c r="B384" s="12"/>
      <c r="C384" s="23" t="s">
        <v>13</v>
      </c>
      <c r="D384" s="23" t="s">
        <v>4</v>
      </c>
      <c r="E384" s="23" t="s">
        <v>5</v>
      </c>
      <c r="F384" s="13"/>
    </row>
    <row r="385" spans="2:6">
      <c r="B385" s="12"/>
      <c r="C385" s="172">
        <v>1</v>
      </c>
      <c r="D385" s="6">
        <v>0</v>
      </c>
      <c r="E385" s="6">
        <v>0</v>
      </c>
      <c r="F385" s="13"/>
    </row>
    <row r="386" spans="2:6">
      <c r="B386" s="12"/>
      <c r="C386" s="172">
        <v>2</v>
      </c>
      <c r="D386" s="6">
        <f>-COS(D373)</f>
        <v>-1</v>
      </c>
      <c r="E386" s="6">
        <f>SIN(D373)</f>
        <v>0</v>
      </c>
      <c r="F386" s="13"/>
    </row>
    <row r="387" spans="2:6">
      <c r="B387" s="12"/>
      <c r="C387" s="7"/>
      <c r="D387" s="7"/>
      <c r="E387" s="7"/>
      <c r="F387" s="13"/>
    </row>
    <row r="388" spans="2:6">
      <c r="B388" s="12"/>
      <c r="C388" s="23" t="s">
        <v>14</v>
      </c>
      <c r="D388" s="23" t="s">
        <v>4</v>
      </c>
      <c r="E388" s="23" t="s">
        <v>5</v>
      </c>
      <c r="F388" s="13"/>
    </row>
    <row r="389" spans="2:6">
      <c r="B389" s="12"/>
      <c r="C389" s="172">
        <v>1</v>
      </c>
      <c r="D389" s="172">
        <v>0</v>
      </c>
      <c r="E389" s="172">
        <v>0</v>
      </c>
      <c r="F389" s="13"/>
    </row>
    <row r="390" spans="2:6">
      <c r="B390" s="12"/>
      <c r="C390" s="172">
        <v>2</v>
      </c>
      <c r="D390" s="172">
        <f ca="1">IFERROR(-COS(D378),"")</f>
        <v>0.94860707973144009</v>
      </c>
      <c r="E390" s="172">
        <f ca="1">IFERROR(SIN(D378),"")</f>
        <v>0.31645632918838767</v>
      </c>
      <c r="F390" s="13"/>
    </row>
    <row r="391" spans="2:6">
      <c r="B391" s="14"/>
      <c r="C391" s="15"/>
      <c r="D391" s="15"/>
      <c r="E391" s="15"/>
      <c r="F391" s="16"/>
    </row>
  </sheetData>
  <sheetProtection selectLockedCells="1" selectUnlockedCells="1"/>
  <mergeCells count="14">
    <mergeCell ref="C362:E362"/>
    <mergeCell ref="H2:K5"/>
    <mergeCell ref="L2:U5"/>
    <mergeCell ref="C329:E329"/>
    <mergeCell ref="C168:E168"/>
    <mergeCell ref="C8:E8"/>
    <mergeCell ref="C40:E40"/>
    <mergeCell ref="C72:E72"/>
    <mergeCell ref="C104:E104"/>
    <mergeCell ref="C136:E136"/>
    <mergeCell ref="C200:E200"/>
    <mergeCell ref="C232:E232"/>
    <mergeCell ref="C264:E264"/>
    <mergeCell ref="C296:E296"/>
  </mergeCells>
  <hyperlinks>
    <hyperlink ref="C329:E329" location="'PROYECTOS DASHBOARD'!S73" display=" PROYECTO 1533 - BUEN TRATO 2019" xr:uid="{00000000-0004-0000-0000-000000000000}"/>
    <hyperlink ref="C8:E8" location="'PROYECTOS DASHBOARD'!M3" display="PROYECTO 1532 AMBIENTE" xr:uid="{00000000-0004-0000-0000-000001000000}"/>
    <hyperlink ref="C362:E362" location="'PROYECTOS DASHBOARD'!L90" display=" PROYECTO 1533 - DOTACIÓN JARDÍNES 2019" xr:uid="{00000000-0004-0000-0000-000002000000}"/>
  </hyperlink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/>
  <dimension ref="A1:W47"/>
  <sheetViews>
    <sheetView showGridLines="0" zoomScale="85" zoomScaleNormal="85" workbookViewId="0">
      <pane ySplit="6" topLeftCell="A7" activePane="bottomLeft" state="frozen"/>
      <selection pane="bottomLeft" activeCell="I25" sqref="I25:K25"/>
    </sheetView>
  </sheetViews>
  <sheetFormatPr baseColWidth="10" defaultColWidth="10.85546875" defaultRowHeight="15"/>
  <cols>
    <col min="1" max="3" width="2.85546875" style="62" customWidth="1"/>
    <col min="4" max="4" width="24.85546875" style="62" customWidth="1"/>
    <col min="5" max="5" width="21.140625" style="62" customWidth="1"/>
    <col min="6" max="8" width="2.85546875" style="62" customWidth="1"/>
    <col min="9" max="9" width="21.140625" style="62" customWidth="1"/>
    <col min="10" max="11" width="16.7109375" style="62" customWidth="1"/>
    <col min="12" max="12" width="52.28515625" style="62" bestFit="1" customWidth="1"/>
    <col min="13" max="13" width="24" style="62" customWidth="1"/>
    <col min="14" max="14" width="19.42578125" style="62" customWidth="1"/>
    <col min="15" max="15" width="16.28515625" style="62" customWidth="1"/>
    <col min="16" max="18" width="2.85546875" style="62" customWidth="1"/>
    <col min="19" max="19" width="10.7109375" style="62" customWidth="1"/>
    <col min="20" max="20" width="12.85546875" style="62" customWidth="1"/>
    <col min="21" max="21" width="10.7109375" style="62" customWidth="1"/>
    <col min="22" max="25" width="2.85546875" style="62" customWidth="1"/>
    <col min="26" max="16384" width="10.85546875" style="62"/>
  </cols>
  <sheetData>
    <row r="1" spans="1:23" ht="15" customHeight="1">
      <c r="A1" s="66"/>
      <c r="B1" s="66"/>
      <c r="C1" s="66"/>
      <c r="D1" s="66"/>
      <c r="E1" s="66"/>
      <c r="F1" s="66"/>
      <c r="G1" s="77"/>
      <c r="H1" s="77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>
      <c r="A2" s="66"/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</row>
    <row r="3" spans="1:23" ht="15" customHeight="1">
      <c r="A3" s="66"/>
      <c r="B3" s="67"/>
      <c r="C3" s="424"/>
      <c r="D3" s="424"/>
      <c r="E3" s="424"/>
      <c r="F3" s="424"/>
      <c r="G3" s="425" t="s">
        <v>258</v>
      </c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68"/>
    </row>
    <row r="4" spans="1:23" ht="15" customHeight="1">
      <c r="A4" s="66"/>
      <c r="B4" s="67"/>
      <c r="C4" s="424"/>
      <c r="D4" s="424"/>
      <c r="E4" s="424"/>
      <c r="F4" s="424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68"/>
    </row>
    <row r="5" spans="1:23" ht="15" customHeight="1">
      <c r="A5" s="66"/>
      <c r="B5" s="67"/>
      <c r="C5" s="424"/>
      <c r="D5" s="424"/>
      <c r="E5" s="424"/>
      <c r="F5" s="424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68"/>
    </row>
    <row r="6" spans="1:23" ht="15" customHeight="1">
      <c r="A6" s="66"/>
      <c r="B6" s="67"/>
      <c r="C6" s="424"/>
      <c r="D6" s="424"/>
      <c r="E6" s="424"/>
      <c r="F6" s="424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68"/>
    </row>
    <row r="7" spans="1:23">
      <c r="B7" s="67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8"/>
    </row>
    <row r="8" spans="1:23">
      <c r="B8" s="67"/>
      <c r="C8" s="63"/>
      <c r="D8" s="64"/>
      <c r="E8" s="64"/>
      <c r="F8" s="65"/>
      <c r="G8" s="66"/>
      <c r="H8" s="63"/>
      <c r="I8" s="64"/>
      <c r="J8" s="64"/>
      <c r="K8" s="64"/>
      <c r="L8" s="64"/>
      <c r="M8" s="64"/>
      <c r="N8" s="64"/>
      <c r="O8" s="64"/>
      <c r="P8" s="65"/>
      <c r="Q8" s="66"/>
      <c r="R8" s="63"/>
      <c r="S8" s="64"/>
      <c r="T8" s="64"/>
      <c r="U8" s="64"/>
      <c r="V8" s="65"/>
      <c r="W8" s="68"/>
    </row>
    <row r="9" spans="1:23">
      <c r="B9" s="67"/>
      <c r="C9" s="67"/>
      <c r="D9" s="427" t="s">
        <v>56</v>
      </c>
      <c r="E9" s="427"/>
      <c r="F9" s="68"/>
      <c r="G9" s="66"/>
      <c r="H9" s="67"/>
      <c r="I9" s="427" t="s">
        <v>98</v>
      </c>
      <c r="J9" s="427"/>
      <c r="K9" s="427"/>
      <c r="L9" s="427"/>
      <c r="M9" s="427"/>
      <c r="N9" s="427"/>
      <c r="O9" s="427"/>
      <c r="P9" s="68"/>
      <c r="Q9" s="66"/>
      <c r="R9" s="67"/>
      <c r="S9" s="420" t="s">
        <v>89</v>
      </c>
      <c r="T9" s="420"/>
      <c r="U9" s="423">
        <f>O33</f>
        <v>1</v>
      </c>
      <c r="V9" s="68"/>
      <c r="W9" s="68"/>
    </row>
    <row r="10" spans="1:23">
      <c r="B10" s="67"/>
      <c r="C10" s="67"/>
      <c r="D10" s="66"/>
      <c r="E10" s="66"/>
      <c r="F10" s="68"/>
      <c r="G10" s="66"/>
      <c r="H10" s="67"/>
      <c r="I10" s="66"/>
      <c r="J10" s="66"/>
      <c r="K10" s="66"/>
      <c r="L10" s="66"/>
      <c r="M10" s="66"/>
      <c r="N10" s="66"/>
      <c r="O10" s="66"/>
      <c r="P10" s="68"/>
      <c r="Q10" s="66"/>
      <c r="R10" s="67"/>
      <c r="S10" s="420"/>
      <c r="T10" s="420"/>
      <c r="U10" s="423"/>
      <c r="V10" s="68"/>
      <c r="W10" s="68"/>
    </row>
    <row r="11" spans="1:23">
      <c r="B11" s="67"/>
      <c r="C11" s="67"/>
      <c r="D11" s="59" t="s">
        <v>57</v>
      </c>
      <c r="E11" s="156">
        <v>43718</v>
      </c>
      <c r="F11" s="68"/>
      <c r="G11" s="66"/>
      <c r="H11" s="67"/>
      <c r="I11" s="428" t="s">
        <v>141</v>
      </c>
      <c r="J11" s="428"/>
      <c r="K11" s="428"/>
      <c r="L11" s="428"/>
      <c r="M11" s="428"/>
      <c r="N11" s="428"/>
      <c r="O11" s="69">
        <v>1</v>
      </c>
      <c r="P11" s="68"/>
      <c r="Q11" s="66"/>
      <c r="R11" s="67"/>
      <c r="S11" s="420"/>
      <c r="T11" s="420"/>
      <c r="U11" s="423"/>
      <c r="V11" s="68"/>
      <c r="W11" s="68"/>
    </row>
    <row r="12" spans="1:23">
      <c r="B12" s="67"/>
      <c r="C12" s="67"/>
      <c r="D12" s="59" t="s">
        <v>58</v>
      </c>
      <c r="E12" s="156">
        <v>43919</v>
      </c>
      <c r="F12" s="68"/>
      <c r="G12" s="66"/>
      <c r="H12" s="67"/>
      <c r="I12" s="66"/>
      <c r="J12" s="66"/>
      <c r="K12" s="66"/>
      <c r="L12" s="66"/>
      <c r="M12" s="66"/>
      <c r="N12" s="66"/>
      <c r="O12" s="66"/>
      <c r="P12" s="68"/>
      <c r="Q12" s="66"/>
      <c r="R12" s="71"/>
      <c r="S12" s="72"/>
      <c r="T12" s="72"/>
      <c r="U12" s="72"/>
      <c r="V12" s="73"/>
      <c r="W12" s="68"/>
    </row>
    <row r="13" spans="1:23">
      <c r="B13" s="67"/>
      <c r="C13" s="67"/>
      <c r="D13" s="59" t="s">
        <v>59</v>
      </c>
      <c r="E13" s="55">
        <f>E12-E11</f>
        <v>201</v>
      </c>
      <c r="F13" s="68"/>
      <c r="G13" s="66"/>
      <c r="H13" s="67"/>
      <c r="I13" s="426" t="s">
        <v>33</v>
      </c>
      <c r="J13" s="426"/>
      <c r="K13" s="426"/>
      <c r="L13" s="60" t="s">
        <v>97</v>
      </c>
      <c r="M13" s="57" t="s">
        <v>136</v>
      </c>
      <c r="N13" s="58" t="s">
        <v>87</v>
      </c>
      <c r="O13" s="58" t="s">
        <v>88</v>
      </c>
      <c r="P13" s="68"/>
      <c r="Q13" s="66"/>
      <c r="R13" s="66"/>
      <c r="S13" s="66"/>
      <c r="T13" s="66"/>
      <c r="U13" s="66"/>
      <c r="V13" s="66"/>
      <c r="W13" s="68"/>
    </row>
    <row r="14" spans="1:23">
      <c r="B14" s="67"/>
      <c r="C14" s="67"/>
      <c r="D14" s="70" t="s">
        <v>21</v>
      </c>
      <c r="E14" s="55">
        <f ca="1">TODAY()-E11</f>
        <v>394</v>
      </c>
      <c r="F14" s="68"/>
      <c r="G14" s="66"/>
      <c r="H14" s="67"/>
      <c r="I14" s="422" t="s">
        <v>34</v>
      </c>
      <c r="J14" s="422"/>
      <c r="K14" s="422"/>
      <c r="L14" s="79" t="s">
        <v>35</v>
      </c>
      <c r="M14" s="55">
        <v>20</v>
      </c>
      <c r="N14" s="55">
        <v>20</v>
      </c>
      <c r="O14" s="54">
        <f>((N14*$O$11)/$M$33)</f>
        <v>8.9285714285714288E-2</v>
      </c>
      <c r="P14" s="68"/>
      <c r="Q14" s="66"/>
      <c r="R14" s="63"/>
      <c r="S14" s="64"/>
      <c r="T14" s="64"/>
      <c r="U14" s="64"/>
      <c r="V14" s="65"/>
      <c r="W14" s="68"/>
    </row>
    <row r="15" spans="1:23">
      <c r="B15" s="67"/>
      <c r="C15" s="67"/>
      <c r="D15" s="66"/>
      <c r="E15" s="66"/>
      <c r="F15" s="68"/>
      <c r="G15" s="66"/>
      <c r="H15" s="67"/>
      <c r="I15" s="422" t="s">
        <v>34</v>
      </c>
      <c r="J15" s="422"/>
      <c r="K15" s="422"/>
      <c r="L15" s="79" t="s">
        <v>38</v>
      </c>
      <c r="M15" s="55">
        <v>0</v>
      </c>
      <c r="N15" s="55">
        <v>0</v>
      </c>
      <c r="O15" s="54">
        <f t="shared" ref="O15:O31" si="0">((N15*$O$11)/$M$33)</f>
        <v>0</v>
      </c>
      <c r="P15" s="68"/>
      <c r="Q15" s="66"/>
      <c r="R15" s="67"/>
      <c r="S15" s="421" t="s">
        <v>90</v>
      </c>
      <c r="T15" s="421"/>
      <c r="U15" s="421"/>
      <c r="V15" s="76"/>
      <c r="W15" s="68"/>
    </row>
    <row r="16" spans="1:23">
      <c r="B16" s="67"/>
      <c r="C16" s="67"/>
      <c r="D16" s="159" t="s">
        <v>56</v>
      </c>
      <c r="E16" s="160">
        <f ca="1">IF((E14/E13)&gt;100%,100%,(E14/E13))</f>
        <v>1</v>
      </c>
      <c r="F16" s="68"/>
      <c r="G16" s="66"/>
      <c r="H16" s="67"/>
      <c r="I16" s="422" t="s">
        <v>36</v>
      </c>
      <c r="J16" s="422"/>
      <c r="K16" s="422"/>
      <c r="L16" s="79" t="s">
        <v>35</v>
      </c>
      <c r="M16" s="55">
        <v>20</v>
      </c>
      <c r="N16" s="55">
        <v>20</v>
      </c>
      <c r="O16" s="54">
        <f t="shared" si="0"/>
        <v>8.9285714285714288E-2</v>
      </c>
      <c r="P16" s="68"/>
      <c r="Q16" s="66"/>
      <c r="R16" s="71"/>
      <c r="S16" s="72"/>
      <c r="T16" s="72"/>
      <c r="U16" s="72"/>
      <c r="V16" s="73"/>
      <c r="W16" s="76"/>
    </row>
    <row r="17" spans="2:23" ht="15" customHeight="1">
      <c r="B17" s="67"/>
      <c r="C17" s="71"/>
      <c r="D17" s="72"/>
      <c r="E17" s="72"/>
      <c r="F17" s="73"/>
      <c r="G17" s="66"/>
      <c r="H17" s="67"/>
      <c r="I17" s="422" t="s">
        <v>36</v>
      </c>
      <c r="J17" s="422"/>
      <c r="K17" s="422"/>
      <c r="L17" s="79" t="s">
        <v>38</v>
      </c>
      <c r="M17" s="55">
        <v>0</v>
      </c>
      <c r="N17" s="55">
        <v>0</v>
      </c>
      <c r="O17" s="54">
        <f t="shared" si="0"/>
        <v>0</v>
      </c>
      <c r="P17" s="68"/>
      <c r="Q17" s="66"/>
      <c r="R17" s="66"/>
      <c r="S17" s="66"/>
      <c r="T17" s="66"/>
      <c r="U17" s="66"/>
      <c r="V17" s="66"/>
      <c r="W17" s="68"/>
    </row>
    <row r="18" spans="2:23">
      <c r="B18" s="67"/>
      <c r="C18" s="66"/>
      <c r="D18" s="66"/>
      <c r="E18" s="66"/>
      <c r="F18" s="66"/>
      <c r="G18" s="66"/>
      <c r="H18" s="67"/>
      <c r="I18" s="422" t="s">
        <v>37</v>
      </c>
      <c r="J18" s="422"/>
      <c r="K18" s="422"/>
      <c r="L18" s="79" t="s">
        <v>38</v>
      </c>
      <c r="M18" s="55">
        <v>10</v>
      </c>
      <c r="N18" s="55">
        <v>10</v>
      </c>
      <c r="O18" s="54">
        <f t="shared" si="0"/>
        <v>4.4642857142857144E-2</v>
      </c>
      <c r="P18" s="68"/>
      <c r="Q18" s="66"/>
      <c r="R18" s="81"/>
      <c r="S18" s="82"/>
      <c r="T18" s="82"/>
      <c r="U18" s="82"/>
      <c r="V18" s="83"/>
      <c r="W18" s="68"/>
    </row>
    <row r="19" spans="2:23">
      <c r="B19" s="67"/>
      <c r="C19" s="63"/>
      <c r="D19" s="64"/>
      <c r="E19" s="64"/>
      <c r="F19" s="65"/>
      <c r="G19" s="66"/>
      <c r="H19" s="67"/>
      <c r="I19" s="422" t="s">
        <v>37</v>
      </c>
      <c r="J19" s="422"/>
      <c r="K19" s="422"/>
      <c r="L19" s="79" t="s">
        <v>35</v>
      </c>
      <c r="M19" s="55">
        <v>20</v>
      </c>
      <c r="N19" s="55">
        <v>20</v>
      </c>
      <c r="O19" s="54">
        <f t="shared" si="0"/>
        <v>8.9285714285714288E-2</v>
      </c>
      <c r="P19" s="68"/>
      <c r="Q19" s="66"/>
      <c r="R19" s="85"/>
      <c r="S19" s="348" t="s">
        <v>370</v>
      </c>
      <c r="T19" s="348"/>
      <c r="U19" s="348"/>
      <c r="V19" s="90"/>
      <c r="W19" s="68"/>
    </row>
    <row r="20" spans="2:23">
      <c r="B20" s="67"/>
      <c r="C20" s="67"/>
      <c r="D20" s="427" t="s">
        <v>60</v>
      </c>
      <c r="E20" s="427"/>
      <c r="F20" s="68"/>
      <c r="G20" s="66"/>
      <c r="H20" s="67"/>
      <c r="I20" s="422" t="s">
        <v>39</v>
      </c>
      <c r="J20" s="422"/>
      <c r="K20" s="422"/>
      <c r="L20" s="79" t="s">
        <v>35</v>
      </c>
      <c r="M20" s="55">
        <v>20</v>
      </c>
      <c r="N20" s="55">
        <v>20</v>
      </c>
      <c r="O20" s="54">
        <f t="shared" si="0"/>
        <v>8.9285714285714288E-2</v>
      </c>
      <c r="P20" s="68"/>
      <c r="Q20" s="66"/>
      <c r="R20" s="85"/>
      <c r="S20" s="84"/>
      <c r="T20" s="84"/>
      <c r="U20" s="84"/>
      <c r="V20" s="90"/>
      <c r="W20" s="68"/>
    </row>
    <row r="21" spans="2:23">
      <c r="B21" s="67"/>
      <c r="C21" s="67"/>
      <c r="D21" s="66"/>
      <c r="E21" s="66"/>
      <c r="F21" s="68"/>
      <c r="G21" s="66"/>
      <c r="H21" s="67"/>
      <c r="I21" s="422" t="s">
        <v>39</v>
      </c>
      <c r="J21" s="422"/>
      <c r="K21" s="422"/>
      <c r="L21" s="79" t="s">
        <v>38</v>
      </c>
      <c r="M21" s="55">
        <v>0</v>
      </c>
      <c r="N21" s="55">
        <v>0</v>
      </c>
      <c r="O21" s="54">
        <f t="shared" si="0"/>
        <v>0</v>
      </c>
      <c r="P21" s="68"/>
      <c r="Q21" s="66"/>
      <c r="R21" s="167"/>
      <c r="S21" s="397"/>
      <c r="T21" s="398"/>
      <c r="U21" s="399"/>
      <c r="V21" s="140"/>
      <c r="W21" s="68"/>
    </row>
    <row r="22" spans="2:23">
      <c r="B22" s="67"/>
      <c r="C22" s="67"/>
      <c r="D22" s="61" t="s">
        <v>69</v>
      </c>
      <c r="E22" s="74">
        <v>400000000</v>
      </c>
      <c r="F22" s="68"/>
      <c r="G22" s="66"/>
      <c r="H22" s="67"/>
      <c r="I22" s="422" t="s">
        <v>40</v>
      </c>
      <c r="J22" s="422"/>
      <c r="K22" s="422"/>
      <c r="L22" s="79" t="s">
        <v>38</v>
      </c>
      <c r="M22" s="55">
        <v>37</v>
      </c>
      <c r="N22" s="55">
        <v>37</v>
      </c>
      <c r="O22" s="54">
        <f t="shared" si="0"/>
        <v>0.16517857142857142</v>
      </c>
      <c r="P22" s="68"/>
      <c r="Q22" s="66"/>
      <c r="R22" s="167"/>
      <c r="S22" s="400"/>
      <c r="T22" s="401"/>
      <c r="U22" s="402"/>
      <c r="V22" s="140"/>
      <c r="W22" s="68"/>
    </row>
    <row r="23" spans="2:23">
      <c r="B23" s="67"/>
      <c r="C23" s="67"/>
      <c r="D23" s="66"/>
      <c r="E23" s="66"/>
      <c r="F23" s="68"/>
      <c r="G23" s="66"/>
      <c r="H23" s="67"/>
      <c r="I23" s="422" t="s">
        <v>40</v>
      </c>
      <c r="J23" s="422"/>
      <c r="K23" s="422"/>
      <c r="L23" s="79" t="s">
        <v>35</v>
      </c>
      <c r="M23" s="55">
        <v>0</v>
      </c>
      <c r="N23" s="55">
        <v>0</v>
      </c>
      <c r="O23" s="54">
        <f t="shared" si="0"/>
        <v>0</v>
      </c>
      <c r="P23" s="68"/>
      <c r="Q23" s="66"/>
      <c r="R23" s="167"/>
      <c r="S23" s="400"/>
      <c r="T23" s="401"/>
      <c r="U23" s="402"/>
      <c r="V23" s="140"/>
      <c r="W23" s="68"/>
    </row>
    <row r="24" spans="2:23" ht="15" customHeight="1">
      <c r="B24" s="67"/>
      <c r="C24" s="67"/>
      <c r="D24" s="61" t="s">
        <v>137</v>
      </c>
      <c r="E24" s="157">
        <v>0</v>
      </c>
      <c r="F24" s="68"/>
      <c r="G24" s="66"/>
      <c r="H24" s="67"/>
      <c r="I24" s="422" t="s">
        <v>41</v>
      </c>
      <c r="J24" s="422"/>
      <c r="K24" s="422"/>
      <c r="L24" s="79" t="s">
        <v>35</v>
      </c>
      <c r="M24" s="55">
        <v>20</v>
      </c>
      <c r="N24" s="55">
        <v>20</v>
      </c>
      <c r="O24" s="54">
        <f t="shared" si="0"/>
        <v>8.9285714285714288E-2</v>
      </c>
      <c r="P24" s="68"/>
      <c r="Q24" s="66"/>
      <c r="R24" s="167"/>
      <c r="S24" s="400"/>
      <c r="T24" s="401"/>
      <c r="U24" s="402"/>
      <c r="V24" s="140"/>
      <c r="W24" s="68"/>
    </row>
    <row r="25" spans="2:23" ht="15" customHeight="1">
      <c r="B25" s="67"/>
      <c r="C25" s="67"/>
      <c r="D25" s="66"/>
      <c r="E25" s="66"/>
      <c r="F25" s="68"/>
      <c r="G25" s="66"/>
      <c r="H25" s="67"/>
      <c r="I25" s="422" t="s">
        <v>41</v>
      </c>
      <c r="J25" s="422"/>
      <c r="K25" s="422"/>
      <c r="L25" s="79" t="s">
        <v>38</v>
      </c>
      <c r="M25" s="55">
        <v>0</v>
      </c>
      <c r="N25" s="55">
        <v>0</v>
      </c>
      <c r="O25" s="54">
        <f t="shared" si="0"/>
        <v>0</v>
      </c>
      <c r="P25" s="68"/>
      <c r="Q25" s="66"/>
      <c r="R25" s="167"/>
      <c r="S25" s="400"/>
      <c r="T25" s="401"/>
      <c r="U25" s="402"/>
      <c r="V25" s="140"/>
      <c r="W25" s="68"/>
    </row>
    <row r="26" spans="2:23">
      <c r="B26" s="67"/>
      <c r="C26" s="67"/>
      <c r="D26" s="52" t="s">
        <v>70</v>
      </c>
      <c r="E26" s="75">
        <f>SUM(E24:E24)</f>
        <v>0</v>
      </c>
      <c r="F26" s="68"/>
      <c r="G26" s="66"/>
      <c r="H26" s="67"/>
      <c r="I26" s="422" t="s">
        <v>42</v>
      </c>
      <c r="J26" s="422"/>
      <c r="K26" s="422"/>
      <c r="L26" s="79" t="s">
        <v>35</v>
      </c>
      <c r="M26" s="55">
        <v>20</v>
      </c>
      <c r="N26" s="55">
        <v>20</v>
      </c>
      <c r="O26" s="54">
        <f t="shared" si="0"/>
        <v>8.9285714285714288E-2</v>
      </c>
      <c r="P26" s="68"/>
      <c r="Q26" s="66"/>
      <c r="R26" s="85"/>
      <c r="S26" s="400"/>
      <c r="T26" s="401"/>
      <c r="U26" s="402"/>
      <c r="V26" s="90"/>
      <c r="W26" s="68"/>
    </row>
    <row r="27" spans="2:23">
      <c r="B27" s="67"/>
      <c r="C27" s="67"/>
      <c r="D27" s="66"/>
      <c r="E27" s="66"/>
      <c r="F27" s="68"/>
      <c r="G27" s="66"/>
      <c r="H27" s="67"/>
      <c r="I27" s="422" t="s">
        <v>42</v>
      </c>
      <c r="J27" s="422"/>
      <c r="K27" s="422"/>
      <c r="L27" s="79" t="s">
        <v>38</v>
      </c>
      <c r="M27" s="55">
        <v>0</v>
      </c>
      <c r="N27" s="55">
        <v>0</v>
      </c>
      <c r="O27" s="54">
        <f t="shared" si="0"/>
        <v>0</v>
      </c>
      <c r="P27" s="68"/>
      <c r="Q27" s="66"/>
      <c r="R27" s="85"/>
      <c r="S27" s="400"/>
      <c r="T27" s="401"/>
      <c r="U27" s="402"/>
      <c r="V27" s="90"/>
      <c r="W27" s="68"/>
    </row>
    <row r="28" spans="2:23">
      <c r="B28" s="67"/>
      <c r="C28" s="67"/>
      <c r="D28" s="159" t="s">
        <v>60</v>
      </c>
      <c r="E28" s="160">
        <f>E26/E22</f>
        <v>0</v>
      </c>
      <c r="F28" s="68"/>
      <c r="G28" s="66"/>
      <c r="H28" s="67"/>
      <c r="I28" s="422" t="s">
        <v>43</v>
      </c>
      <c r="J28" s="422"/>
      <c r="K28" s="422"/>
      <c r="L28" s="79" t="s">
        <v>35</v>
      </c>
      <c r="M28" s="55">
        <v>19</v>
      </c>
      <c r="N28" s="55">
        <v>19</v>
      </c>
      <c r="O28" s="54">
        <f t="shared" si="0"/>
        <v>8.4821428571428575E-2</v>
      </c>
      <c r="P28" s="68"/>
      <c r="Q28" s="66"/>
      <c r="R28" s="85"/>
      <c r="S28" s="400"/>
      <c r="T28" s="401"/>
      <c r="U28" s="402"/>
      <c r="V28" s="90"/>
      <c r="W28" s="68"/>
    </row>
    <row r="29" spans="2:23">
      <c r="B29" s="67"/>
      <c r="C29" s="71"/>
      <c r="D29" s="72"/>
      <c r="E29" s="72"/>
      <c r="F29" s="73"/>
      <c r="G29" s="66"/>
      <c r="H29" s="67"/>
      <c r="I29" s="422" t="s">
        <v>43</v>
      </c>
      <c r="J29" s="422"/>
      <c r="K29" s="422"/>
      <c r="L29" s="79" t="s">
        <v>38</v>
      </c>
      <c r="M29" s="55">
        <v>0</v>
      </c>
      <c r="N29" s="55">
        <v>0</v>
      </c>
      <c r="O29" s="54">
        <f t="shared" si="0"/>
        <v>0</v>
      </c>
      <c r="P29" s="68"/>
      <c r="Q29" s="66"/>
      <c r="R29" s="67"/>
      <c r="S29" s="400"/>
      <c r="T29" s="401"/>
      <c r="U29" s="402"/>
      <c r="V29" s="68"/>
      <c r="W29" s="68"/>
    </row>
    <row r="30" spans="2:23">
      <c r="B30" s="67"/>
      <c r="C30" s="66"/>
      <c r="D30" s="66"/>
      <c r="E30" s="66"/>
      <c r="F30" s="66"/>
      <c r="G30" s="66"/>
      <c r="H30" s="67"/>
      <c r="I30" s="422" t="s">
        <v>44</v>
      </c>
      <c r="J30" s="422"/>
      <c r="K30" s="422"/>
      <c r="L30" s="79" t="s">
        <v>35</v>
      </c>
      <c r="M30" s="55">
        <v>38</v>
      </c>
      <c r="N30" s="55">
        <v>38</v>
      </c>
      <c r="O30" s="54">
        <f t="shared" si="0"/>
        <v>0.16964285714285715</v>
      </c>
      <c r="P30" s="68"/>
      <c r="Q30" s="66"/>
      <c r="R30" s="67"/>
      <c r="S30" s="400"/>
      <c r="T30" s="401"/>
      <c r="U30" s="402"/>
      <c r="V30" s="68"/>
      <c r="W30" s="68"/>
    </row>
    <row r="31" spans="2:23">
      <c r="B31" s="67"/>
      <c r="C31" s="66"/>
      <c r="D31" s="66"/>
      <c r="E31" s="66"/>
      <c r="F31" s="66"/>
      <c r="G31" s="66"/>
      <c r="H31" s="67"/>
      <c r="I31" s="422" t="s">
        <v>44</v>
      </c>
      <c r="J31" s="422"/>
      <c r="K31" s="422"/>
      <c r="L31" s="79" t="s">
        <v>38</v>
      </c>
      <c r="M31" s="55">
        <v>0</v>
      </c>
      <c r="N31" s="55">
        <v>0</v>
      </c>
      <c r="O31" s="54">
        <f t="shared" si="0"/>
        <v>0</v>
      </c>
      <c r="P31" s="68"/>
      <c r="Q31" s="66"/>
      <c r="R31" s="67"/>
      <c r="S31" s="400"/>
      <c r="T31" s="401"/>
      <c r="U31" s="402"/>
      <c r="V31" s="68"/>
      <c r="W31" s="68"/>
    </row>
    <row r="32" spans="2:23">
      <c r="B32" s="67"/>
      <c r="C32" s="66"/>
      <c r="D32" s="66"/>
      <c r="E32" s="66"/>
      <c r="F32" s="66"/>
      <c r="G32" s="66"/>
      <c r="H32" s="67"/>
      <c r="I32" s="66"/>
      <c r="J32" s="66"/>
      <c r="K32" s="66"/>
      <c r="L32" s="66"/>
      <c r="M32" s="66"/>
      <c r="N32" s="66"/>
      <c r="O32" s="66"/>
      <c r="P32" s="68"/>
      <c r="Q32" s="66"/>
      <c r="R32" s="67"/>
      <c r="S32" s="400"/>
      <c r="T32" s="401"/>
      <c r="U32" s="402"/>
      <c r="V32" s="68"/>
      <c r="W32" s="68"/>
    </row>
    <row r="33" spans="2:23">
      <c r="B33" s="67"/>
      <c r="C33" s="66"/>
      <c r="D33" s="66"/>
      <c r="E33" s="66"/>
      <c r="F33" s="66"/>
      <c r="G33" s="66"/>
      <c r="H33" s="67"/>
      <c r="I33" s="420" t="s">
        <v>96</v>
      </c>
      <c r="J33" s="420"/>
      <c r="K33" s="420"/>
      <c r="L33" s="420"/>
      <c r="M33" s="161">
        <f>SUM(M14:M31)</f>
        <v>224</v>
      </c>
      <c r="N33" s="159">
        <f>SUM(N14:N31)</f>
        <v>224</v>
      </c>
      <c r="O33" s="160">
        <f>SUM(O14:O31)</f>
        <v>1</v>
      </c>
      <c r="P33" s="68"/>
      <c r="Q33" s="66"/>
      <c r="R33" s="67"/>
      <c r="S33" s="403"/>
      <c r="T33" s="404"/>
      <c r="U33" s="405"/>
      <c r="V33" s="68"/>
      <c r="W33" s="68"/>
    </row>
    <row r="34" spans="2:23">
      <c r="B34" s="67"/>
      <c r="C34" s="66"/>
      <c r="D34" s="66"/>
      <c r="E34" s="66"/>
      <c r="F34" s="66"/>
      <c r="G34" s="66"/>
      <c r="H34" s="71"/>
      <c r="I34" s="72"/>
      <c r="J34" s="72"/>
      <c r="K34" s="72"/>
      <c r="L34" s="72"/>
      <c r="M34" s="72"/>
      <c r="N34" s="72"/>
      <c r="O34" s="72"/>
      <c r="P34" s="73"/>
      <c r="Q34" s="66"/>
      <c r="R34" s="71"/>
      <c r="S34" s="72"/>
      <c r="T34" s="72"/>
      <c r="U34" s="72"/>
      <c r="V34" s="73"/>
      <c r="W34" s="68"/>
    </row>
    <row r="35" spans="2:23">
      <c r="B35" s="67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8"/>
    </row>
    <row r="36" spans="2:23" ht="27" customHeight="1">
      <c r="B36" s="67"/>
      <c r="C36" s="66"/>
      <c r="D36" s="66"/>
      <c r="E36" s="66"/>
      <c r="F36" s="66"/>
      <c r="G36" s="66"/>
      <c r="H36" s="354" t="s">
        <v>222</v>
      </c>
      <c r="I36" s="354"/>
      <c r="J36" s="354"/>
      <c r="K36" s="354"/>
      <c r="L36" s="354" t="s">
        <v>221</v>
      </c>
      <c r="M36" s="354"/>
      <c r="N36" s="354"/>
      <c r="O36" s="226" t="s">
        <v>223</v>
      </c>
      <c r="P36" s="354" t="s">
        <v>224</v>
      </c>
      <c r="Q36" s="354"/>
      <c r="R36" s="354"/>
      <c r="S36" s="354"/>
      <c r="T36" s="229" t="s">
        <v>225</v>
      </c>
      <c r="U36" s="229" t="s">
        <v>226</v>
      </c>
      <c r="V36" s="66"/>
      <c r="W36" s="68"/>
    </row>
    <row r="37" spans="2:23">
      <c r="B37" s="67"/>
      <c r="C37" s="66"/>
      <c r="D37" s="66"/>
      <c r="E37" s="66"/>
      <c r="F37" s="66"/>
      <c r="G37" s="66"/>
      <c r="H37" s="406" t="s">
        <v>237</v>
      </c>
      <c r="I37" s="407"/>
      <c r="J37" s="407"/>
      <c r="K37" s="408"/>
      <c r="L37" s="343" t="s">
        <v>238</v>
      </c>
      <c r="M37" s="343"/>
      <c r="N37" s="343"/>
      <c r="O37" s="225">
        <v>9</v>
      </c>
      <c r="P37" s="429">
        <v>9</v>
      </c>
      <c r="Q37" s="429"/>
      <c r="R37" s="429"/>
      <c r="S37" s="429"/>
      <c r="T37" s="228">
        <v>2.25</v>
      </c>
      <c r="U37" s="228">
        <v>2.25</v>
      </c>
      <c r="V37" s="66"/>
      <c r="W37" s="68"/>
    </row>
    <row r="38" spans="2:23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W38" s="73"/>
    </row>
    <row r="39" spans="2:23">
      <c r="C39" s="66"/>
      <c r="F39" s="66"/>
      <c r="R39" s="64"/>
      <c r="S39" s="64"/>
      <c r="T39" s="64"/>
      <c r="U39" s="64"/>
      <c r="V39" s="64"/>
    </row>
    <row r="40" spans="2:23" ht="16.5" customHeight="1"/>
    <row r="45" spans="2:23">
      <c r="H45" s="66"/>
      <c r="I45" s="66"/>
      <c r="J45" s="66"/>
      <c r="K45" s="66"/>
      <c r="L45" s="66"/>
      <c r="M45" s="66"/>
      <c r="N45" s="66"/>
    </row>
    <row r="46" spans="2:23">
      <c r="H46" s="66"/>
      <c r="I46" s="66"/>
      <c r="J46" s="66"/>
      <c r="K46" s="66"/>
      <c r="L46" s="66"/>
      <c r="M46" s="66"/>
      <c r="N46" s="66"/>
    </row>
    <row r="47" spans="2:23">
      <c r="H47" s="66"/>
      <c r="I47" s="66"/>
      <c r="J47" s="66"/>
      <c r="K47" s="66"/>
      <c r="L47" s="66"/>
      <c r="M47" s="66"/>
      <c r="N47" s="66"/>
    </row>
  </sheetData>
  <mergeCells count="37">
    <mergeCell ref="P36:S36"/>
    <mergeCell ref="P37:S37"/>
    <mergeCell ref="H36:K36"/>
    <mergeCell ref="L36:N36"/>
    <mergeCell ref="H37:K37"/>
    <mergeCell ref="L37:N37"/>
    <mergeCell ref="D20:E20"/>
    <mergeCell ref="I18:K18"/>
    <mergeCell ref="D9:E9"/>
    <mergeCell ref="I9:O9"/>
    <mergeCell ref="I11:N11"/>
    <mergeCell ref="I15:K15"/>
    <mergeCell ref="I16:K16"/>
    <mergeCell ref="C3:F6"/>
    <mergeCell ref="G3:V6"/>
    <mergeCell ref="I31:K31"/>
    <mergeCell ref="I13:K13"/>
    <mergeCell ref="I33:L33"/>
    <mergeCell ref="I24:K24"/>
    <mergeCell ref="I25:K25"/>
    <mergeCell ref="I26:K26"/>
    <mergeCell ref="I27:K27"/>
    <mergeCell ref="I28:K28"/>
    <mergeCell ref="I19:K19"/>
    <mergeCell ref="I20:K20"/>
    <mergeCell ref="I21:K21"/>
    <mergeCell ref="I22:K22"/>
    <mergeCell ref="I23:K23"/>
    <mergeCell ref="I14:K14"/>
    <mergeCell ref="S9:T11"/>
    <mergeCell ref="S15:U15"/>
    <mergeCell ref="I29:K29"/>
    <mergeCell ref="I30:K30"/>
    <mergeCell ref="I17:K17"/>
    <mergeCell ref="U9:U11"/>
    <mergeCell ref="S19:U19"/>
    <mergeCell ref="S21:U33"/>
  </mergeCells>
  <hyperlinks>
    <hyperlink ref="S15:U15" location="'PROYECTOS DASHBOARD'!A1" display="CLICK - GRAFICA DASHBOARD " xr:uid="{00000000-0004-0000-0900-000000000000}"/>
  </hyperlink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B2:U53"/>
  <sheetViews>
    <sheetView showGridLines="0" zoomScale="85" zoomScaleNormal="85" workbookViewId="0">
      <pane ySplit="6" topLeftCell="A7" activePane="bottomLeft" state="frozen"/>
      <selection pane="bottomLeft" activeCell="S43" sqref="S43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8" width="2.85546875" style="80" customWidth="1"/>
    <col min="9" max="9" width="14.42578125" style="80" customWidth="1"/>
    <col min="10" max="10" width="21.85546875" style="80" customWidth="1"/>
    <col min="11" max="13" width="17.7109375" style="80" customWidth="1"/>
    <col min="14" max="17" width="2.85546875" style="80" customWidth="1"/>
    <col min="18" max="18" width="19.28515625" style="80" customWidth="1"/>
    <col min="19" max="19" width="17" style="80" customWidth="1"/>
    <col min="20" max="20" width="3.42578125" style="80" customWidth="1"/>
    <col min="21" max="16384" width="10.85546875" style="80"/>
  </cols>
  <sheetData>
    <row r="2" spans="2:21" ht="1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4"/>
      <c r="Q2" s="84"/>
      <c r="R2" s="84"/>
      <c r="S2" s="84"/>
      <c r="T2" s="84"/>
    </row>
    <row r="3" spans="2:21" ht="15" customHeight="1">
      <c r="B3" s="85"/>
      <c r="C3" s="343"/>
      <c r="D3" s="343"/>
      <c r="E3" s="343"/>
      <c r="F3" s="343"/>
      <c r="G3" s="430" t="s">
        <v>139</v>
      </c>
      <c r="H3" s="430"/>
      <c r="I3" s="430"/>
      <c r="J3" s="430"/>
      <c r="K3" s="430"/>
      <c r="L3" s="430"/>
      <c r="M3" s="430"/>
      <c r="N3" s="430"/>
      <c r="O3" s="86"/>
      <c r="P3" s="87"/>
      <c r="Q3" s="87"/>
      <c r="R3" s="87"/>
      <c r="S3" s="87"/>
      <c r="T3" s="84"/>
    </row>
    <row r="4" spans="2:21" ht="15" customHeight="1">
      <c r="B4" s="85"/>
      <c r="C4" s="343"/>
      <c r="D4" s="343"/>
      <c r="E4" s="343"/>
      <c r="F4" s="343"/>
      <c r="G4" s="430"/>
      <c r="H4" s="430"/>
      <c r="I4" s="430"/>
      <c r="J4" s="430"/>
      <c r="K4" s="430"/>
      <c r="L4" s="430"/>
      <c r="M4" s="430"/>
      <c r="N4" s="430"/>
      <c r="O4" s="86"/>
      <c r="P4" s="87"/>
      <c r="Q4" s="87"/>
      <c r="R4" s="87"/>
      <c r="S4" s="87"/>
      <c r="T4" s="84"/>
    </row>
    <row r="5" spans="2:21" ht="15" customHeight="1">
      <c r="B5" s="85"/>
      <c r="C5" s="343"/>
      <c r="D5" s="343"/>
      <c r="E5" s="343"/>
      <c r="F5" s="343"/>
      <c r="G5" s="430"/>
      <c r="H5" s="430"/>
      <c r="I5" s="430"/>
      <c r="J5" s="430"/>
      <c r="K5" s="430"/>
      <c r="L5" s="430"/>
      <c r="M5" s="430"/>
      <c r="N5" s="430"/>
      <c r="O5" s="86"/>
      <c r="P5" s="87"/>
      <c r="Q5" s="87"/>
      <c r="R5" s="87"/>
      <c r="S5" s="87"/>
      <c r="T5" s="84"/>
    </row>
    <row r="6" spans="2:21" ht="15" customHeight="1">
      <c r="B6" s="85"/>
      <c r="C6" s="343"/>
      <c r="D6" s="343"/>
      <c r="E6" s="343"/>
      <c r="F6" s="343"/>
      <c r="G6" s="430"/>
      <c r="H6" s="430"/>
      <c r="I6" s="430"/>
      <c r="J6" s="430"/>
      <c r="K6" s="430"/>
      <c r="L6" s="430"/>
      <c r="M6" s="430"/>
      <c r="N6" s="430"/>
      <c r="O6" s="86"/>
      <c r="P6" s="87"/>
      <c r="Q6" s="87"/>
      <c r="R6" s="87"/>
      <c r="S6" s="87"/>
      <c r="T6" s="84"/>
    </row>
    <row r="7" spans="2:21" ht="15" customHeight="1">
      <c r="B7" s="85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90"/>
    </row>
    <row r="8" spans="2:21" ht="15" customHeight="1"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3"/>
      <c r="O8" s="90"/>
      <c r="P8" s="84"/>
      <c r="T8" s="84"/>
      <c r="U8" s="84"/>
    </row>
    <row r="9" spans="2:21" ht="15" customHeight="1">
      <c r="B9" s="85"/>
      <c r="C9" s="85"/>
      <c r="D9" s="350" t="s">
        <v>56</v>
      </c>
      <c r="E9" s="350"/>
      <c r="F9" s="90"/>
      <c r="G9" s="84"/>
      <c r="H9" s="85"/>
      <c r="I9" s="350" t="s">
        <v>146</v>
      </c>
      <c r="J9" s="350"/>
      <c r="K9" s="350"/>
      <c r="L9" s="350"/>
      <c r="M9" s="350"/>
      <c r="N9" s="90"/>
      <c r="O9" s="90"/>
      <c r="U9" s="84"/>
    </row>
    <row r="10" spans="2:21" ht="15" customHeight="1"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90"/>
      <c r="O10" s="90"/>
      <c r="U10" s="84"/>
    </row>
    <row r="11" spans="2:21" ht="15" customHeight="1">
      <c r="B11" s="85"/>
      <c r="C11" s="85"/>
      <c r="D11" s="91" t="s">
        <v>57</v>
      </c>
      <c r="E11" s="151">
        <v>43403</v>
      </c>
      <c r="F11" s="90"/>
      <c r="G11" s="84"/>
      <c r="H11" s="85"/>
      <c r="I11" s="351" t="s">
        <v>141</v>
      </c>
      <c r="J11" s="351"/>
      <c r="K11" s="351"/>
      <c r="L11" s="351"/>
      <c r="M11" s="92">
        <v>0.5</v>
      </c>
      <c r="N11" s="90"/>
      <c r="O11" s="90"/>
      <c r="U11" s="84"/>
    </row>
    <row r="12" spans="2:21" ht="15" customHeight="1">
      <c r="B12" s="85"/>
      <c r="C12" s="85"/>
      <c r="D12" s="91" t="s">
        <v>58</v>
      </c>
      <c r="E12" s="151">
        <v>43767</v>
      </c>
      <c r="F12" s="90"/>
      <c r="G12" s="84"/>
      <c r="H12" s="85"/>
      <c r="I12" s="84"/>
      <c r="J12" s="84"/>
      <c r="K12" s="84"/>
      <c r="L12" s="84"/>
      <c r="M12" s="84"/>
      <c r="N12" s="90"/>
      <c r="O12" s="90"/>
      <c r="U12" s="84"/>
    </row>
    <row r="13" spans="2:21" ht="15" customHeight="1">
      <c r="B13" s="85"/>
      <c r="C13" s="85"/>
      <c r="D13" s="91" t="s">
        <v>59</v>
      </c>
      <c r="E13" s="93">
        <f>E12-E11</f>
        <v>364</v>
      </c>
      <c r="F13" s="90"/>
      <c r="G13" s="84"/>
      <c r="H13" s="85"/>
      <c r="I13" s="344" t="s">
        <v>45</v>
      </c>
      <c r="J13" s="345"/>
      <c r="K13" s="94" t="s">
        <v>94</v>
      </c>
      <c r="L13" s="95" t="s">
        <v>87</v>
      </c>
      <c r="M13" s="95" t="s">
        <v>88</v>
      </c>
      <c r="N13" s="90"/>
      <c r="O13" s="90"/>
      <c r="U13" s="84"/>
    </row>
    <row r="14" spans="2:21" ht="15" customHeight="1">
      <c r="B14" s="85"/>
      <c r="C14" s="85"/>
      <c r="D14" s="96" t="s">
        <v>21</v>
      </c>
      <c r="E14" s="93">
        <f ca="1">TODAY()-E11</f>
        <v>709</v>
      </c>
      <c r="F14" s="90"/>
      <c r="G14" s="84"/>
      <c r="H14" s="85"/>
      <c r="I14" s="431" t="s">
        <v>140</v>
      </c>
      <c r="J14" s="432"/>
      <c r="K14" s="97">
        <v>20</v>
      </c>
      <c r="L14" s="153">
        <v>15.13</v>
      </c>
      <c r="M14" s="98">
        <f>+L14/K14</f>
        <v>0.75650000000000006</v>
      </c>
      <c r="N14" s="90"/>
      <c r="O14" s="90"/>
      <c r="T14" s="84"/>
      <c r="U14" s="84"/>
    </row>
    <row r="15" spans="2:21" ht="15" customHeight="1">
      <c r="B15" s="85"/>
      <c r="C15" s="85"/>
      <c r="D15" s="84"/>
      <c r="E15" s="84"/>
      <c r="F15" s="90"/>
      <c r="G15" s="84"/>
      <c r="H15" s="85"/>
      <c r="I15" s="84"/>
      <c r="J15" s="84"/>
      <c r="K15" s="84"/>
      <c r="L15" s="84"/>
      <c r="M15" s="88"/>
      <c r="N15" s="90"/>
      <c r="O15" s="90"/>
      <c r="U15" s="84"/>
    </row>
    <row r="16" spans="2:21" ht="15" customHeight="1">
      <c r="B16" s="85"/>
      <c r="C16" s="85"/>
      <c r="D16" s="145" t="s">
        <v>56</v>
      </c>
      <c r="E16" s="146">
        <f ca="1">IF((E14/E13)&gt;100%,100%,(E14/E13))</f>
        <v>1</v>
      </c>
      <c r="F16" s="90"/>
      <c r="G16" s="84"/>
      <c r="H16" s="85"/>
      <c r="I16" s="367" t="s">
        <v>142</v>
      </c>
      <c r="J16" s="367"/>
      <c r="K16" s="367"/>
      <c r="L16" s="145">
        <f>SUM(L14:L15)</f>
        <v>15.13</v>
      </c>
      <c r="M16" s="146">
        <f>M14*M11</f>
        <v>0.37825000000000003</v>
      </c>
      <c r="N16" s="90"/>
      <c r="O16" s="90"/>
      <c r="U16" s="84"/>
    </row>
    <row r="17" spans="2:21" ht="15" customHeight="1">
      <c r="B17" s="85"/>
      <c r="C17" s="99"/>
      <c r="D17" s="100"/>
      <c r="E17" s="100"/>
      <c r="F17" s="101"/>
      <c r="G17" s="84"/>
      <c r="H17" s="99"/>
      <c r="I17" s="100"/>
      <c r="J17" s="100"/>
      <c r="K17" s="100"/>
      <c r="L17" s="100"/>
      <c r="M17" s="100"/>
      <c r="N17" s="101"/>
      <c r="O17" s="90"/>
      <c r="U17" s="84"/>
    </row>
    <row r="18" spans="2:21" ht="15" customHeight="1">
      <c r="B18" s="85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90"/>
      <c r="T18" s="84"/>
      <c r="U18" s="84"/>
    </row>
    <row r="19" spans="2:21" ht="15" customHeight="1">
      <c r="B19" s="85"/>
      <c r="C19" s="81"/>
      <c r="D19" s="82"/>
      <c r="E19" s="82"/>
      <c r="F19" s="83"/>
      <c r="G19" s="84"/>
      <c r="H19" s="81"/>
      <c r="I19" s="82"/>
      <c r="J19" s="82"/>
      <c r="K19" s="82"/>
      <c r="L19" s="82"/>
      <c r="M19" s="82"/>
      <c r="N19" s="83"/>
      <c r="O19" s="90"/>
      <c r="T19" s="84"/>
      <c r="U19" s="84"/>
    </row>
    <row r="20" spans="2:21" ht="15" customHeight="1">
      <c r="B20" s="85"/>
      <c r="C20" s="85"/>
      <c r="D20" s="350" t="s">
        <v>60</v>
      </c>
      <c r="E20" s="350"/>
      <c r="F20" s="90"/>
      <c r="G20" s="84"/>
      <c r="H20" s="85"/>
      <c r="I20" s="350" t="s">
        <v>104</v>
      </c>
      <c r="J20" s="350"/>
      <c r="K20" s="350"/>
      <c r="L20" s="350"/>
      <c r="M20" s="350"/>
      <c r="N20" s="90"/>
      <c r="O20" s="90"/>
      <c r="T20" s="84"/>
      <c r="U20" s="84"/>
    </row>
    <row r="21" spans="2:21" ht="15" customHeight="1">
      <c r="B21" s="85"/>
      <c r="C21" s="85"/>
      <c r="D21" s="84"/>
      <c r="E21" s="84"/>
      <c r="F21" s="90"/>
      <c r="G21" s="84"/>
      <c r="H21" s="85"/>
      <c r="I21" s="84"/>
      <c r="J21" s="84"/>
      <c r="K21" s="84"/>
      <c r="L21" s="84"/>
      <c r="M21" s="84"/>
      <c r="N21" s="90"/>
      <c r="O21" s="90"/>
      <c r="T21" s="84"/>
      <c r="U21" s="84"/>
    </row>
    <row r="22" spans="2:21" ht="15" customHeight="1">
      <c r="B22" s="85"/>
      <c r="C22" s="85"/>
      <c r="D22" s="97" t="s">
        <v>69</v>
      </c>
      <c r="E22" s="102">
        <v>10810000000</v>
      </c>
      <c r="F22" s="90"/>
      <c r="G22" s="84"/>
      <c r="H22" s="85"/>
      <c r="I22" s="351" t="s">
        <v>141</v>
      </c>
      <c r="J22" s="351"/>
      <c r="K22" s="351"/>
      <c r="L22" s="351"/>
      <c r="M22" s="92">
        <v>0.5</v>
      </c>
      <c r="N22" s="90"/>
      <c r="O22" s="90"/>
      <c r="T22" s="84"/>
      <c r="U22" s="84"/>
    </row>
    <row r="23" spans="2:21" ht="15" customHeight="1">
      <c r="B23" s="85"/>
      <c r="C23" s="85"/>
      <c r="D23" s="84"/>
      <c r="E23" s="84"/>
      <c r="F23" s="90"/>
      <c r="G23" s="84"/>
      <c r="H23" s="85"/>
      <c r="I23" s="84"/>
      <c r="J23" s="84"/>
      <c r="K23" s="84"/>
      <c r="L23" s="84"/>
      <c r="M23" s="84"/>
      <c r="N23" s="90"/>
      <c r="O23" s="90"/>
      <c r="T23" s="84"/>
      <c r="U23" s="84"/>
    </row>
    <row r="24" spans="2:21" ht="15" customHeight="1">
      <c r="B24" s="85"/>
      <c r="C24" s="85"/>
      <c r="D24" s="97" t="s">
        <v>156</v>
      </c>
      <c r="E24" s="152">
        <v>1052042497</v>
      </c>
      <c r="F24" s="90"/>
      <c r="G24" s="84"/>
      <c r="H24" s="85"/>
      <c r="I24" s="354" t="s">
        <v>45</v>
      </c>
      <c r="J24" s="354"/>
      <c r="K24" s="94" t="s">
        <v>94</v>
      </c>
      <c r="L24" s="95" t="s">
        <v>87</v>
      </c>
      <c r="M24" s="95" t="s">
        <v>88</v>
      </c>
      <c r="N24" s="90"/>
      <c r="O24" s="90"/>
      <c r="T24" s="84"/>
      <c r="U24" s="84"/>
    </row>
    <row r="25" spans="2:21" ht="15" customHeight="1">
      <c r="B25" s="85"/>
      <c r="C25" s="85"/>
      <c r="D25" s="97" t="s">
        <v>61</v>
      </c>
      <c r="E25" s="152">
        <v>97144768</v>
      </c>
      <c r="F25" s="90"/>
      <c r="G25" s="84"/>
      <c r="H25" s="85"/>
      <c r="I25" s="409" t="s">
        <v>105</v>
      </c>
      <c r="J25" s="409"/>
      <c r="K25" s="97">
        <v>33514</v>
      </c>
      <c r="L25" s="153">
        <v>1053</v>
      </c>
      <c r="M25" s="98">
        <f>+L25/K25</f>
        <v>3.1419705197827774E-2</v>
      </c>
      <c r="N25" s="90"/>
      <c r="O25" s="90"/>
      <c r="T25" s="84"/>
      <c r="U25" s="84"/>
    </row>
    <row r="26" spans="2:21" ht="15" customHeight="1">
      <c r="B26" s="85"/>
      <c r="C26" s="85"/>
      <c r="D26" s="97" t="s">
        <v>62</v>
      </c>
      <c r="E26" s="152">
        <v>569656009</v>
      </c>
      <c r="F26" s="90"/>
      <c r="G26" s="84"/>
      <c r="H26" s="85"/>
      <c r="I26" s="84"/>
      <c r="J26" s="84"/>
      <c r="K26" s="84"/>
      <c r="L26" s="84"/>
      <c r="M26" s="88"/>
      <c r="N26" s="90"/>
      <c r="O26" s="90"/>
      <c r="T26" s="84"/>
      <c r="U26" s="84"/>
    </row>
    <row r="27" spans="2:21" ht="15" customHeight="1">
      <c r="B27" s="85"/>
      <c r="C27" s="85"/>
      <c r="D27" s="97" t="s">
        <v>63</v>
      </c>
      <c r="E27" s="152">
        <v>1021666749</v>
      </c>
      <c r="F27" s="90"/>
      <c r="G27" s="84"/>
      <c r="H27" s="85"/>
      <c r="I27" s="367" t="s">
        <v>143</v>
      </c>
      <c r="J27" s="367"/>
      <c r="K27" s="367"/>
      <c r="L27" s="145">
        <f>SUM(L25:L26)</f>
        <v>1053</v>
      </c>
      <c r="M27" s="146">
        <f>M25*M22</f>
        <v>1.5709852598913887E-2</v>
      </c>
      <c r="N27" s="90"/>
      <c r="O27" s="90"/>
      <c r="T27" s="84"/>
      <c r="U27" s="84"/>
    </row>
    <row r="28" spans="2:21" ht="15" customHeight="1">
      <c r="B28" s="85"/>
      <c r="C28" s="85"/>
      <c r="D28" s="97" t="s">
        <v>64</v>
      </c>
      <c r="E28" s="152">
        <v>582725894</v>
      </c>
      <c r="F28" s="90"/>
      <c r="G28" s="84"/>
      <c r="H28" s="99"/>
      <c r="I28" s="100"/>
      <c r="J28" s="100"/>
      <c r="K28" s="100"/>
      <c r="L28" s="100"/>
      <c r="M28" s="100"/>
      <c r="N28" s="101"/>
      <c r="O28" s="90"/>
      <c r="T28" s="84"/>
      <c r="U28" s="84"/>
    </row>
    <row r="29" spans="2:21" ht="15" customHeight="1">
      <c r="B29" s="85"/>
      <c r="C29" s="85"/>
      <c r="D29" s="97" t="s">
        <v>65</v>
      </c>
      <c r="E29" s="152">
        <v>1448453943</v>
      </c>
      <c r="F29" s="90"/>
      <c r="G29" s="84"/>
      <c r="H29" s="84"/>
      <c r="I29" s="84"/>
      <c r="J29" s="84"/>
      <c r="K29" s="84"/>
      <c r="L29" s="84"/>
      <c r="M29" s="84"/>
      <c r="N29" s="84"/>
      <c r="O29" s="90"/>
      <c r="T29" s="84"/>
      <c r="U29" s="84"/>
    </row>
    <row r="30" spans="2:21" ht="15" customHeight="1">
      <c r="B30" s="85"/>
      <c r="C30" s="85"/>
      <c r="D30" s="97" t="s">
        <v>66</v>
      </c>
      <c r="E30" s="152">
        <v>1239962574</v>
      </c>
      <c r="F30" s="90"/>
      <c r="G30" s="84"/>
      <c r="H30" s="81"/>
      <c r="I30" s="82"/>
      <c r="J30" s="82"/>
      <c r="K30" s="82"/>
      <c r="L30" s="82"/>
      <c r="M30" s="82"/>
      <c r="N30" s="83"/>
      <c r="O30" s="90"/>
      <c r="T30" s="84"/>
      <c r="U30" s="84"/>
    </row>
    <row r="31" spans="2:21" ht="15" customHeight="1">
      <c r="B31" s="85"/>
      <c r="C31" s="85"/>
      <c r="D31" s="97" t="s">
        <v>67</v>
      </c>
      <c r="E31" s="152">
        <v>1073319466</v>
      </c>
      <c r="F31" s="90"/>
      <c r="G31" s="84"/>
      <c r="H31" s="85"/>
      <c r="I31" s="348" t="s">
        <v>89</v>
      </c>
      <c r="J31" s="348"/>
      <c r="K31" s="348"/>
      <c r="L31" s="348"/>
      <c r="M31" s="349">
        <f>+M16+M27</f>
        <v>0.39395985259891392</v>
      </c>
      <c r="N31" s="90"/>
      <c r="O31" s="90"/>
      <c r="T31" s="84"/>
      <c r="U31" s="84"/>
    </row>
    <row r="32" spans="2:21" ht="15" customHeight="1">
      <c r="B32" s="85"/>
      <c r="C32" s="85"/>
      <c r="D32" s="97" t="s">
        <v>68</v>
      </c>
      <c r="E32" s="152">
        <v>1023512249</v>
      </c>
      <c r="F32" s="90"/>
      <c r="G32" s="84"/>
      <c r="H32" s="85"/>
      <c r="I32" s="348"/>
      <c r="J32" s="348"/>
      <c r="K32" s="348"/>
      <c r="L32" s="348"/>
      <c r="M32" s="349"/>
      <c r="N32" s="90"/>
      <c r="O32" s="90"/>
      <c r="T32" s="84"/>
      <c r="U32" s="84"/>
    </row>
    <row r="33" spans="2:21" ht="15" customHeight="1">
      <c r="B33" s="85"/>
      <c r="C33" s="85"/>
      <c r="D33" s="97" t="s">
        <v>101</v>
      </c>
      <c r="E33" s="152">
        <v>583623771</v>
      </c>
      <c r="F33" s="90"/>
      <c r="G33" s="84"/>
      <c r="H33" s="99"/>
      <c r="I33" s="100"/>
      <c r="J33" s="100"/>
      <c r="K33" s="100"/>
      <c r="L33" s="100"/>
      <c r="M33" s="100"/>
      <c r="N33" s="101"/>
      <c r="O33" s="90"/>
      <c r="T33" s="84"/>
      <c r="U33" s="84"/>
    </row>
    <row r="34" spans="2:21" ht="15" customHeight="1">
      <c r="B34" s="85"/>
      <c r="C34" s="85"/>
      <c r="D34" s="97" t="s">
        <v>102</v>
      </c>
      <c r="E34" s="152">
        <v>0</v>
      </c>
      <c r="F34" s="90"/>
      <c r="G34" s="84"/>
      <c r="H34" s="84"/>
      <c r="I34" s="84"/>
      <c r="J34" s="84"/>
      <c r="K34" s="84"/>
      <c r="L34" s="84"/>
      <c r="M34" s="84"/>
      <c r="N34" s="84"/>
      <c r="O34" s="90"/>
      <c r="T34" s="84"/>
      <c r="U34" s="84"/>
    </row>
    <row r="35" spans="2:21" ht="15" customHeight="1">
      <c r="B35" s="85"/>
      <c r="C35" s="85"/>
      <c r="D35" s="84"/>
      <c r="E35" s="84"/>
      <c r="F35" s="90"/>
      <c r="G35" s="84"/>
      <c r="H35" s="81"/>
      <c r="I35" s="82"/>
      <c r="J35" s="82"/>
      <c r="K35" s="82"/>
      <c r="L35" s="82"/>
      <c r="M35" s="82"/>
      <c r="N35" s="83"/>
      <c r="O35" s="90"/>
      <c r="T35" s="84"/>
      <c r="U35" s="84"/>
    </row>
    <row r="36" spans="2:21" ht="15" customHeight="1">
      <c r="B36" s="85"/>
      <c r="C36" s="85"/>
      <c r="D36" s="103" t="s">
        <v>70</v>
      </c>
      <c r="E36" s="104">
        <f>SUM(E24:E34)</f>
        <v>8692107920</v>
      </c>
      <c r="F36" s="90"/>
      <c r="G36" s="84"/>
      <c r="H36" s="85"/>
      <c r="I36" s="368" t="s">
        <v>90</v>
      </c>
      <c r="J36" s="368"/>
      <c r="K36" s="368"/>
      <c r="L36" s="368"/>
      <c r="M36" s="368"/>
      <c r="N36" s="90"/>
      <c r="O36" s="90"/>
      <c r="T36" s="84"/>
      <c r="U36" s="84"/>
    </row>
    <row r="37" spans="2:21" ht="15" customHeight="1">
      <c r="B37" s="85"/>
      <c r="C37" s="85"/>
      <c r="D37" s="84"/>
      <c r="E37" s="84"/>
      <c r="F37" s="90"/>
      <c r="G37" s="84"/>
      <c r="H37" s="99"/>
      <c r="I37" s="100"/>
      <c r="J37" s="100"/>
      <c r="K37" s="100"/>
      <c r="L37" s="100"/>
      <c r="M37" s="100"/>
      <c r="N37" s="101"/>
      <c r="O37" s="90"/>
      <c r="T37" s="84"/>
      <c r="U37" s="84"/>
    </row>
    <row r="38" spans="2:21" ht="15" customHeight="1">
      <c r="B38" s="85"/>
      <c r="C38" s="85"/>
      <c r="D38" s="145" t="s">
        <v>60</v>
      </c>
      <c r="E38" s="146">
        <f>E36/E22</f>
        <v>0.8040802886216466</v>
      </c>
      <c r="F38" s="90"/>
      <c r="G38" s="84"/>
      <c r="H38" s="84"/>
      <c r="I38" s="84"/>
      <c r="J38" s="84"/>
      <c r="K38" s="84"/>
      <c r="L38" s="84"/>
      <c r="M38" s="84"/>
      <c r="N38" s="84"/>
      <c r="O38" s="90"/>
    </row>
    <row r="39" spans="2:21" ht="15" customHeight="1">
      <c r="B39" s="85"/>
      <c r="C39" s="99"/>
      <c r="D39" s="100"/>
      <c r="E39" s="100"/>
      <c r="F39" s="101"/>
      <c r="G39" s="84"/>
      <c r="H39" s="84"/>
      <c r="I39" s="84"/>
      <c r="J39" s="84"/>
      <c r="K39" s="84"/>
      <c r="L39" s="84"/>
      <c r="M39" s="84"/>
      <c r="N39" s="84"/>
      <c r="O39" s="90"/>
    </row>
    <row r="40" spans="2:21" ht="15" customHeight="1">
      <c r="B40" s="8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90"/>
    </row>
    <row r="41" spans="2:21" ht="30" customHeight="1">
      <c r="B41" s="85"/>
      <c r="C41" s="410" t="s">
        <v>222</v>
      </c>
      <c r="D41" s="410"/>
      <c r="E41" s="410"/>
      <c r="F41" s="410"/>
      <c r="G41" s="410" t="s">
        <v>221</v>
      </c>
      <c r="H41" s="410"/>
      <c r="I41" s="410"/>
      <c r="J41" s="232" t="s">
        <v>223</v>
      </c>
      <c r="K41" s="232" t="s">
        <v>224</v>
      </c>
      <c r="L41" s="232" t="s">
        <v>225</v>
      </c>
      <c r="M41" s="232" t="s">
        <v>226</v>
      </c>
      <c r="N41" s="84"/>
      <c r="O41" s="90"/>
    </row>
    <row r="42" spans="2:21" ht="39" customHeight="1">
      <c r="B42" s="85"/>
      <c r="C42" s="346" t="s">
        <v>240</v>
      </c>
      <c r="D42" s="346"/>
      <c r="E42" s="346"/>
      <c r="F42" s="346"/>
      <c r="G42" s="346" t="s">
        <v>239</v>
      </c>
      <c r="H42" s="346"/>
      <c r="I42" s="346"/>
      <c r="J42" s="225">
        <v>33.4</v>
      </c>
      <c r="K42" s="241">
        <v>18.399999999999999</v>
      </c>
      <c r="L42" s="228">
        <v>0.95299999999999996</v>
      </c>
      <c r="M42" s="228">
        <v>0.52700000000000002</v>
      </c>
      <c r="N42" s="84"/>
      <c r="O42" s="90"/>
    </row>
    <row r="43" spans="2:21" ht="39" customHeight="1">
      <c r="B43" s="85"/>
      <c r="C43" s="346" t="s">
        <v>251</v>
      </c>
      <c r="D43" s="346"/>
      <c r="E43" s="346"/>
      <c r="F43" s="346"/>
      <c r="G43" s="346" t="s">
        <v>239</v>
      </c>
      <c r="H43" s="346"/>
      <c r="I43" s="346"/>
      <c r="J43" s="230">
        <v>47403</v>
      </c>
      <c r="K43" s="241">
        <v>4422</v>
      </c>
      <c r="L43" s="231">
        <v>2.6349999999999998</v>
      </c>
      <c r="M43" s="231">
        <v>0.23499999999999999</v>
      </c>
      <c r="N43" s="84"/>
      <c r="O43" s="90"/>
    </row>
    <row r="44" spans="2:21">
      <c r="B44" s="85"/>
      <c r="C44" s="278"/>
      <c r="D44" s="278"/>
      <c r="E44" s="278"/>
      <c r="F44" s="278"/>
      <c r="G44" s="278"/>
      <c r="H44" s="278"/>
      <c r="I44" s="278"/>
      <c r="J44" s="286"/>
      <c r="K44" s="294"/>
      <c r="L44" s="291"/>
      <c r="M44" s="291"/>
      <c r="N44" s="84"/>
      <c r="O44" s="90"/>
    </row>
    <row r="45" spans="2:21">
      <c r="B45" s="85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90"/>
    </row>
    <row r="46" spans="2:21" ht="15" customHeight="1">
      <c r="B46" s="85"/>
      <c r="C46" s="295"/>
      <c r="D46" s="349" t="s">
        <v>369</v>
      </c>
      <c r="E46" s="349"/>
      <c r="F46" s="349"/>
      <c r="G46" s="349"/>
      <c r="H46" s="349"/>
      <c r="I46" s="349"/>
      <c r="J46" s="349"/>
      <c r="K46" s="349"/>
      <c r="L46" s="349"/>
      <c r="M46" s="349"/>
      <c r="N46" s="90"/>
      <c r="O46" s="90"/>
    </row>
    <row r="47" spans="2:21">
      <c r="B47" s="85"/>
      <c r="C47" s="85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90"/>
      <c r="O47" s="90"/>
    </row>
    <row r="48" spans="2:21">
      <c r="B48" s="85"/>
      <c r="C48" s="85"/>
      <c r="D48" s="376"/>
      <c r="E48" s="377"/>
      <c r="F48" s="377"/>
      <c r="G48" s="377"/>
      <c r="H48" s="377"/>
      <c r="I48" s="377"/>
      <c r="J48" s="377"/>
      <c r="K48" s="377"/>
      <c r="L48" s="377"/>
      <c r="M48" s="378"/>
      <c r="N48" s="90"/>
      <c r="O48" s="90"/>
    </row>
    <row r="49" spans="2:15">
      <c r="B49" s="85"/>
      <c r="C49" s="85"/>
      <c r="D49" s="379"/>
      <c r="E49" s="355"/>
      <c r="F49" s="355"/>
      <c r="G49" s="355"/>
      <c r="H49" s="355"/>
      <c r="I49" s="355"/>
      <c r="J49" s="355"/>
      <c r="K49" s="355"/>
      <c r="L49" s="355"/>
      <c r="M49" s="380"/>
      <c r="N49" s="90"/>
      <c r="O49" s="90"/>
    </row>
    <row r="50" spans="2:15">
      <c r="B50" s="85"/>
      <c r="C50" s="85"/>
      <c r="D50" s="381"/>
      <c r="E50" s="382"/>
      <c r="F50" s="382"/>
      <c r="G50" s="382"/>
      <c r="H50" s="382"/>
      <c r="I50" s="382"/>
      <c r="J50" s="382"/>
      <c r="K50" s="382"/>
      <c r="L50" s="382"/>
      <c r="M50" s="383"/>
      <c r="N50" s="90"/>
      <c r="O50" s="90"/>
    </row>
    <row r="51" spans="2:15">
      <c r="B51" s="85"/>
      <c r="C51" s="9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101"/>
      <c r="O51" s="90"/>
    </row>
    <row r="52" spans="2:15">
      <c r="B52" s="99"/>
      <c r="C52" s="100"/>
      <c r="D52" s="100"/>
      <c r="E52" s="100"/>
      <c r="F52" s="100"/>
      <c r="G52" s="100"/>
      <c r="H52" s="100"/>
      <c r="I52" s="100"/>
      <c r="J52" s="84"/>
      <c r="K52" s="84"/>
      <c r="L52" s="84"/>
      <c r="M52" s="84"/>
      <c r="N52" s="84"/>
      <c r="O52" s="101"/>
    </row>
    <row r="53" spans="2:15">
      <c r="J53" s="82"/>
      <c r="K53" s="82"/>
      <c r="L53" s="82"/>
      <c r="M53" s="82"/>
      <c r="N53" s="82"/>
    </row>
  </sheetData>
  <sheetProtection selectLockedCells="1" selectUnlockedCells="1"/>
  <mergeCells count="25">
    <mergeCell ref="D46:M46"/>
    <mergeCell ref="D48:M50"/>
    <mergeCell ref="D9:E9"/>
    <mergeCell ref="D20:E20"/>
    <mergeCell ref="I27:K27"/>
    <mergeCell ref="C41:F41"/>
    <mergeCell ref="G41:I41"/>
    <mergeCell ref="I24:J24"/>
    <mergeCell ref="I25:J25"/>
    <mergeCell ref="C42:F42"/>
    <mergeCell ref="G42:I42"/>
    <mergeCell ref="G43:I43"/>
    <mergeCell ref="C43:F43"/>
    <mergeCell ref="C3:F6"/>
    <mergeCell ref="G3:N6"/>
    <mergeCell ref="I31:L32"/>
    <mergeCell ref="M31:M32"/>
    <mergeCell ref="I36:M36"/>
    <mergeCell ref="I20:M20"/>
    <mergeCell ref="I9:M9"/>
    <mergeCell ref="I11:L11"/>
    <mergeCell ref="I13:J13"/>
    <mergeCell ref="I14:J14"/>
    <mergeCell ref="I16:K16"/>
    <mergeCell ref="I22:L22"/>
  </mergeCells>
  <hyperlinks>
    <hyperlink ref="I36:M36" location="'PROYECTOS DASHBOARD'!I36" display="CLICK - GRAFICA DASHBOARD " xr:uid="{00000000-0004-0000-0A00-000000000000}"/>
  </hyperlink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V58"/>
  <sheetViews>
    <sheetView showGridLines="0" zoomScale="85" zoomScaleNormal="85" workbookViewId="0">
      <pane ySplit="6" topLeftCell="A7" activePane="bottomLeft" state="frozen"/>
      <selection pane="bottomLeft" activeCell="E12" sqref="E12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8" width="2.85546875" style="80" customWidth="1"/>
    <col min="9" max="9" width="14.42578125" style="80" customWidth="1"/>
    <col min="10" max="10" width="21.85546875" style="80" customWidth="1"/>
    <col min="11" max="13" width="17.7109375" style="80" customWidth="1"/>
    <col min="14" max="17" width="2.85546875" style="80" customWidth="1"/>
    <col min="18" max="18" width="19" style="80" customWidth="1"/>
    <col min="19" max="19" width="19.28515625" style="80" customWidth="1"/>
    <col min="20" max="20" width="17" style="80" customWidth="1"/>
    <col min="21" max="21" width="3.42578125" style="80" customWidth="1"/>
    <col min="22" max="16384" width="10.85546875" style="80"/>
  </cols>
  <sheetData>
    <row r="2" spans="2:22" ht="1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4"/>
      <c r="Q2" s="84"/>
      <c r="R2" s="84"/>
      <c r="S2" s="84"/>
      <c r="T2" s="84"/>
      <c r="U2" s="84"/>
    </row>
    <row r="3" spans="2:22" ht="15" customHeight="1">
      <c r="B3" s="85"/>
      <c r="C3" s="343"/>
      <c r="D3" s="343"/>
      <c r="E3" s="343"/>
      <c r="F3" s="343"/>
      <c r="G3" s="430" t="s">
        <v>371</v>
      </c>
      <c r="H3" s="430"/>
      <c r="I3" s="430"/>
      <c r="J3" s="430"/>
      <c r="K3" s="430"/>
      <c r="L3" s="430"/>
      <c r="M3" s="430"/>
      <c r="N3" s="430"/>
      <c r="O3" s="86"/>
      <c r="P3" s="87"/>
      <c r="Q3" s="87"/>
      <c r="R3" s="87"/>
      <c r="S3" s="87"/>
      <c r="T3" s="87"/>
      <c r="U3" s="84"/>
    </row>
    <row r="4" spans="2:22" ht="15" customHeight="1">
      <c r="B4" s="85"/>
      <c r="C4" s="343"/>
      <c r="D4" s="343"/>
      <c r="E4" s="343"/>
      <c r="F4" s="343"/>
      <c r="G4" s="430"/>
      <c r="H4" s="430"/>
      <c r="I4" s="430"/>
      <c r="J4" s="430"/>
      <c r="K4" s="430"/>
      <c r="L4" s="430"/>
      <c r="M4" s="430"/>
      <c r="N4" s="430"/>
      <c r="O4" s="86"/>
      <c r="P4" s="87"/>
      <c r="Q4" s="87"/>
      <c r="R4" s="87"/>
      <c r="S4" s="87"/>
      <c r="T4" s="87"/>
      <c r="U4" s="84"/>
    </row>
    <row r="5" spans="2:22" ht="15" customHeight="1">
      <c r="B5" s="85"/>
      <c r="C5" s="343"/>
      <c r="D5" s="343"/>
      <c r="E5" s="343"/>
      <c r="F5" s="343"/>
      <c r="G5" s="430"/>
      <c r="H5" s="430"/>
      <c r="I5" s="430"/>
      <c r="J5" s="430"/>
      <c r="K5" s="430"/>
      <c r="L5" s="430"/>
      <c r="M5" s="430"/>
      <c r="N5" s="430"/>
      <c r="O5" s="86"/>
      <c r="P5" s="87"/>
      <c r="Q5" s="87"/>
      <c r="R5" s="87"/>
      <c r="S5" s="87"/>
      <c r="T5" s="87"/>
      <c r="U5" s="84"/>
    </row>
    <row r="6" spans="2:22" ht="15" customHeight="1">
      <c r="B6" s="85"/>
      <c r="C6" s="343"/>
      <c r="D6" s="343"/>
      <c r="E6" s="343"/>
      <c r="F6" s="343"/>
      <c r="G6" s="430"/>
      <c r="H6" s="430"/>
      <c r="I6" s="430"/>
      <c r="J6" s="430"/>
      <c r="K6" s="430"/>
      <c r="L6" s="430"/>
      <c r="M6" s="430"/>
      <c r="N6" s="430"/>
      <c r="O6" s="86"/>
      <c r="P6" s="87"/>
      <c r="Q6" s="87"/>
      <c r="R6" s="87"/>
      <c r="S6" s="87"/>
      <c r="T6" s="87"/>
      <c r="U6" s="84"/>
    </row>
    <row r="7" spans="2:22" ht="15" customHeight="1">
      <c r="B7" s="85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90"/>
    </row>
    <row r="8" spans="2:22" ht="15" customHeight="1"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3"/>
      <c r="O8" s="90"/>
      <c r="P8" s="84"/>
      <c r="U8" s="84"/>
      <c r="V8" s="84"/>
    </row>
    <row r="9" spans="2:22" ht="15" customHeight="1">
      <c r="B9" s="85"/>
      <c r="C9" s="85"/>
      <c r="D9" s="350" t="s">
        <v>56</v>
      </c>
      <c r="E9" s="350"/>
      <c r="F9" s="90"/>
      <c r="G9" s="84"/>
      <c r="H9" s="85"/>
      <c r="I9" s="435" t="s">
        <v>372</v>
      </c>
      <c r="J9" s="435"/>
      <c r="K9" s="435"/>
      <c r="L9" s="435"/>
      <c r="M9" s="435"/>
      <c r="N9" s="90"/>
      <c r="O9" s="90"/>
      <c r="V9" s="84"/>
    </row>
    <row r="10" spans="2:22" ht="15" customHeight="1"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90"/>
      <c r="O10" s="90"/>
      <c r="V10" s="84"/>
    </row>
    <row r="11" spans="2:22" ht="15" customHeight="1">
      <c r="B11" s="85"/>
      <c r="C11" s="85"/>
      <c r="D11" s="281" t="s">
        <v>57</v>
      </c>
      <c r="E11" s="151">
        <v>43891</v>
      </c>
      <c r="F11" s="90"/>
      <c r="G11" s="84"/>
      <c r="H11" s="85"/>
      <c r="I11" s="351" t="s">
        <v>141</v>
      </c>
      <c r="J11" s="351"/>
      <c r="K11" s="351"/>
      <c r="L11" s="351"/>
      <c r="M11" s="129">
        <v>0.5</v>
      </c>
      <c r="N11" s="90"/>
      <c r="O11" s="90"/>
      <c r="V11" s="84"/>
    </row>
    <row r="12" spans="2:22" ht="15" customHeight="1">
      <c r="B12" s="85"/>
      <c r="C12" s="85"/>
      <c r="D12" s="281" t="s">
        <v>58</v>
      </c>
      <c r="E12" s="151">
        <v>44219</v>
      </c>
      <c r="F12" s="90"/>
      <c r="G12" s="84"/>
      <c r="H12" s="85"/>
      <c r="I12" s="84"/>
      <c r="J12" s="84"/>
      <c r="K12" s="84"/>
      <c r="L12" s="84"/>
      <c r="M12" s="84"/>
      <c r="N12" s="90"/>
      <c r="O12" s="90"/>
      <c r="V12" s="84"/>
    </row>
    <row r="13" spans="2:22" ht="15" customHeight="1">
      <c r="B13" s="85"/>
      <c r="C13" s="85"/>
      <c r="D13" s="281" t="s">
        <v>210</v>
      </c>
      <c r="E13" s="151">
        <v>43914</v>
      </c>
      <c r="F13" s="90"/>
      <c r="G13" s="84"/>
      <c r="H13" s="85"/>
      <c r="I13" s="344" t="s">
        <v>45</v>
      </c>
      <c r="J13" s="345"/>
      <c r="K13" s="280" t="s">
        <v>94</v>
      </c>
      <c r="L13" s="95" t="s">
        <v>87</v>
      </c>
      <c r="M13" s="95" t="s">
        <v>88</v>
      </c>
      <c r="N13" s="90"/>
      <c r="O13" s="90"/>
      <c r="V13" s="84"/>
    </row>
    <row r="14" spans="2:22" ht="15" customHeight="1">
      <c r="B14" s="85"/>
      <c r="C14" s="85"/>
      <c r="D14" s="281" t="s">
        <v>215</v>
      </c>
      <c r="E14" s="151">
        <v>43997</v>
      </c>
      <c r="F14" s="90"/>
      <c r="G14" s="84"/>
      <c r="H14" s="85"/>
      <c r="I14" s="433" t="s">
        <v>373</v>
      </c>
      <c r="J14" s="434"/>
      <c r="K14" s="275">
        <v>19</v>
      </c>
      <c r="L14" s="279"/>
      <c r="M14" s="98">
        <f>+L14/K14</f>
        <v>0</v>
      </c>
      <c r="N14" s="90"/>
      <c r="O14" s="90"/>
      <c r="R14"/>
      <c r="U14" s="84"/>
      <c r="V14" s="84"/>
    </row>
    <row r="15" spans="2:22" ht="15" customHeight="1">
      <c r="B15" s="85"/>
      <c r="C15" s="85"/>
      <c r="D15" s="281" t="s">
        <v>59</v>
      </c>
      <c r="E15" s="93">
        <f>E12-E11</f>
        <v>328</v>
      </c>
      <c r="F15" s="90"/>
      <c r="G15" s="84"/>
      <c r="H15" s="85"/>
      <c r="I15" s="433" t="s">
        <v>374</v>
      </c>
      <c r="J15" s="434"/>
      <c r="K15" s="275">
        <v>2</v>
      </c>
      <c r="L15" s="279"/>
      <c r="M15" s="98">
        <f t="shared" ref="M15:M16" si="0">+L15/K15</f>
        <v>0</v>
      </c>
      <c r="N15" s="90"/>
      <c r="O15" s="90"/>
      <c r="V15" s="84"/>
    </row>
    <row r="16" spans="2:22" ht="15" customHeight="1">
      <c r="B16" s="85"/>
      <c r="C16" s="85"/>
      <c r="D16" s="96" t="s">
        <v>21</v>
      </c>
      <c r="E16" s="93">
        <f ca="1">TODAY()-E11</f>
        <v>221</v>
      </c>
      <c r="F16" s="90"/>
      <c r="G16" s="84"/>
      <c r="H16" s="85"/>
      <c r="I16" s="433" t="s">
        <v>375</v>
      </c>
      <c r="J16" s="434"/>
      <c r="K16" s="275">
        <v>19</v>
      </c>
      <c r="L16" s="279"/>
      <c r="M16" s="98">
        <f t="shared" si="0"/>
        <v>0</v>
      </c>
      <c r="N16" s="90"/>
      <c r="O16" s="90"/>
      <c r="V16" s="84"/>
    </row>
    <row r="17" spans="2:22" ht="15" customHeight="1">
      <c r="B17" s="85"/>
      <c r="C17" s="85"/>
      <c r="D17" s="84"/>
      <c r="E17" s="84"/>
      <c r="F17" s="90"/>
      <c r="G17" s="84"/>
      <c r="H17" s="85"/>
      <c r="I17" s="84"/>
      <c r="J17" s="84"/>
      <c r="K17" s="84"/>
      <c r="L17" s="84"/>
      <c r="M17" s="84"/>
      <c r="N17" s="90"/>
      <c r="O17" s="90"/>
      <c r="V17" s="84"/>
    </row>
    <row r="18" spans="2:22" ht="15" customHeight="1">
      <c r="B18" s="85"/>
      <c r="C18" s="85"/>
      <c r="D18" s="276" t="s">
        <v>56</v>
      </c>
      <c r="E18" s="277">
        <f ca="1">IF((E16/E15)&gt;100%,100%,(E16/E15))</f>
        <v>0.67378048780487809</v>
      </c>
      <c r="F18" s="90"/>
      <c r="G18" s="84"/>
      <c r="H18" s="85"/>
      <c r="I18" s="367" t="s">
        <v>142</v>
      </c>
      <c r="J18" s="367"/>
      <c r="K18" s="367"/>
      <c r="L18" s="276">
        <f>SUM(L14:L15)</f>
        <v>0</v>
      </c>
      <c r="M18" s="277">
        <f>M14*M11</f>
        <v>0</v>
      </c>
      <c r="N18" s="90"/>
      <c r="O18" s="90"/>
      <c r="U18" s="84"/>
      <c r="V18" s="84"/>
    </row>
    <row r="19" spans="2:22" ht="15" customHeight="1">
      <c r="B19" s="85"/>
      <c r="C19" s="99"/>
      <c r="D19" s="100"/>
      <c r="E19" s="100"/>
      <c r="F19" s="101"/>
      <c r="G19" s="84"/>
      <c r="H19" s="99"/>
      <c r="I19" s="100"/>
      <c r="J19" s="100"/>
      <c r="K19" s="100"/>
      <c r="L19" s="100"/>
      <c r="M19" s="100"/>
      <c r="N19" s="101"/>
      <c r="O19" s="90"/>
      <c r="U19" s="84"/>
      <c r="V19" s="84"/>
    </row>
    <row r="20" spans="2:22" ht="15" customHeight="1">
      <c r="B20" s="85"/>
      <c r="G20" s="84"/>
      <c r="H20" s="84"/>
      <c r="I20" s="84"/>
      <c r="J20" s="84"/>
      <c r="K20" s="84"/>
      <c r="L20" s="84"/>
      <c r="M20" s="84"/>
      <c r="N20" s="84"/>
      <c r="O20" s="90"/>
      <c r="U20" s="84"/>
      <c r="V20" s="84"/>
    </row>
    <row r="21" spans="2:22" ht="15" customHeight="1">
      <c r="B21" s="85"/>
      <c r="C21" s="81"/>
      <c r="D21" s="82"/>
      <c r="E21" s="82"/>
      <c r="F21" s="83"/>
      <c r="G21" s="84"/>
      <c r="H21" s="81"/>
      <c r="I21" s="82"/>
      <c r="J21" s="82"/>
      <c r="K21" s="82"/>
      <c r="L21" s="82"/>
      <c r="M21" s="82"/>
      <c r="N21" s="83"/>
      <c r="O21" s="90"/>
      <c r="U21" s="84"/>
      <c r="V21" s="84"/>
    </row>
    <row r="22" spans="2:22" ht="15" customHeight="1">
      <c r="B22" s="85"/>
      <c r="C22" s="85"/>
      <c r="D22" s="350" t="s">
        <v>60</v>
      </c>
      <c r="E22" s="350"/>
      <c r="F22" s="90"/>
      <c r="G22" s="84"/>
      <c r="H22" s="85"/>
      <c r="I22" s="348" t="s">
        <v>89</v>
      </c>
      <c r="J22" s="348"/>
      <c r="K22" s="348"/>
      <c r="L22" s="348"/>
      <c r="M22" s="277">
        <f>+M18+M29</f>
        <v>0</v>
      </c>
      <c r="N22" s="90"/>
      <c r="O22" s="90"/>
      <c r="U22" s="84"/>
      <c r="V22" s="84"/>
    </row>
    <row r="23" spans="2:22" ht="15" customHeight="1">
      <c r="B23" s="85"/>
      <c r="C23" s="85"/>
      <c r="D23" s="84"/>
      <c r="E23" s="84"/>
      <c r="F23" s="90"/>
      <c r="G23" s="84"/>
      <c r="H23" s="99"/>
      <c r="I23" s="100"/>
      <c r="J23" s="100"/>
      <c r="K23" s="100"/>
      <c r="L23" s="100"/>
      <c r="M23" s="100"/>
      <c r="N23" s="101"/>
      <c r="O23" s="90"/>
      <c r="U23" s="84"/>
      <c r="V23" s="84"/>
    </row>
    <row r="24" spans="2:22" ht="15" customHeight="1">
      <c r="B24" s="85"/>
      <c r="C24" s="85"/>
      <c r="D24" s="275" t="s">
        <v>69</v>
      </c>
      <c r="E24" s="102">
        <f>+E25+E26</f>
        <v>11620000000</v>
      </c>
      <c r="F24" s="90"/>
      <c r="G24" s="84"/>
      <c r="O24" s="90"/>
      <c r="U24" s="84"/>
      <c r="V24" s="84"/>
    </row>
    <row r="25" spans="2:22" ht="15" customHeight="1">
      <c r="B25" s="85"/>
      <c r="C25" s="85"/>
      <c r="D25" s="275" t="s">
        <v>220</v>
      </c>
      <c r="E25" s="102">
        <v>7770000000</v>
      </c>
      <c r="F25" s="90"/>
      <c r="G25" s="84"/>
      <c r="H25" s="81"/>
      <c r="I25" s="82"/>
      <c r="J25" s="82"/>
      <c r="K25" s="82"/>
      <c r="L25" s="82"/>
      <c r="M25" s="82"/>
      <c r="N25" s="83"/>
      <c r="O25" s="90"/>
      <c r="U25" s="84"/>
      <c r="V25" s="84"/>
    </row>
    <row r="26" spans="2:22" ht="15" customHeight="1">
      <c r="B26" s="85"/>
      <c r="C26" s="85"/>
      <c r="D26" s="275" t="s">
        <v>219</v>
      </c>
      <c r="E26" s="102">
        <v>3850000000</v>
      </c>
      <c r="F26" s="90"/>
      <c r="G26" s="84"/>
      <c r="H26" s="85"/>
      <c r="I26" s="368" t="s">
        <v>90</v>
      </c>
      <c r="J26" s="368"/>
      <c r="K26" s="368"/>
      <c r="L26" s="368"/>
      <c r="M26" s="368"/>
      <c r="N26" s="90"/>
      <c r="O26" s="90"/>
      <c r="U26" s="84"/>
      <c r="V26" s="84"/>
    </row>
    <row r="27" spans="2:22" ht="15" customHeight="1">
      <c r="B27" s="85"/>
      <c r="C27" s="85"/>
      <c r="F27" s="90"/>
      <c r="G27" s="84"/>
      <c r="H27" s="99"/>
      <c r="I27" s="100"/>
      <c r="J27" s="100"/>
      <c r="K27" s="100"/>
      <c r="L27" s="100"/>
      <c r="M27" s="100"/>
      <c r="N27" s="101"/>
      <c r="O27" s="90"/>
      <c r="U27" s="84"/>
      <c r="V27" s="84"/>
    </row>
    <row r="28" spans="2:22" ht="15" customHeight="1">
      <c r="B28" s="85"/>
      <c r="C28" s="85"/>
      <c r="D28" s="275" t="s">
        <v>61</v>
      </c>
      <c r="E28" s="152">
        <v>892068794</v>
      </c>
      <c r="F28" s="90"/>
      <c r="G28" s="84"/>
      <c r="O28" s="90"/>
      <c r="U28" s="84"/>
      <c r="V28" s="84"/>
    </row>
    <row r="29" spans="2:22" ht="15" customHeight="1">
      <c r="B29" s="85"/>
      <c r="C29" s="85"/>
      <c r="D29" s="275" t="s">
        <v>62</v>
      </c>
      <c r="E29" s="152">
        <v>807254709</v>
      </c>
      <c r="F29" s="90"/>
      <c r="G29" s="84"/>
      <c r="H29" s="81"/>
      <c r="I29" s="82"/>
      <c r="J29" s="82"/>
      <c r="K29" s="82"/>
      <c r="L29" s="82"/>
      <c r="M29" s="82"/>
      <c r="N29" s="83"/>
      <c r="O29" s="90"/>
      <c r="U29" s="84"/>
      <c r="V29" s="84"/>
    </row>
    <row r="30" spans="2:22" ht="15" customHeight="1">
      <c r="B30" s="85"/>
      <c r="C30" s="85"/>
      <c r="D30" s="275" t="s">
        <v>63</v>
      </c>
      <c r="E30" s="152"/>
      <c r="F30" s="90"/>
      <c r="G30" s="84"/>
      <c r="H30" s="85"/>
      <c r="I30" s="349" t="s">
        <v>369</v>
      </c>
      <c r="J30" s="349"/>
      <c r="K30" s="349"/>
      <c r="L30" s="349"/>
      <c r="M30" s="349"/>
      <c r="N30" s="90"/>
      <c r="O30" s="90"/>
      <c r="U30" s="84"/>
      <c r="V30" s="84"/>
    </row>
    <row r="31" spans="2:22" ht="15" customHeight="1">
      <c r="B31" s="85"/>
      <c r="C31" s="85"/>
      <c r="D31" s="275" t="s">
        <v>64</v>
      </c>
      <c r="E31" s="152"/>
      <c r="F31" s="90"/>
      <c r="G31" s="84"/>
      <c r="H31" s="85"/>
      <c r="I31" s="286"/>
      <c r="J31" s="286"/>
      <c r="K31" s="286"/>
      <c r="L31" s="286"/>
      <c r="M31" s="84"/>
      <c r="N31" s="287"/>
      <c r="O31" s="90"/>
      <c r="U31" s="84"/>
      <c r="V31" s="84"/>
    </row>
    <row r="32" spans="2:22" ht="15" customHeight="1">
      <c r="B32" s="85"/>
      <c r="C32" s="85"/>
      <c r="D32" s="275" t="s">
        <v>65</v>
      </c>
      <c r="E32" s="152"/>
      <c r="F32" s="90"/>
      <c r="G32" s="84"/>
      <c r="H32" s="85"/>
      <c r="I32" s="282"/>
      <c r="J32" s="283"/>
      <c r="K32" s="283"/>
      <c r="L32" s="283"/>
      <c r="M32" s="284"/>
      <c r="N32" s="90"/>
      <c r="O32" s="90"/>
      <c r="U32" s="84"/>
      <c r="V32" s="84"/>
    </row>
    <row r="33" spans="2:22" ht="15" customHeight="1">
      <c r="B33" s="85"/>
      <c r="C33" s="85"/>
      <c r="D33" s="275" t="s">
        <v>66</v>
      </c>
      <c r="E33" s="152"/>
      <c r="F33" s="90"/>
      <c r="G33" s="84"/>
      <c r="H33" s="85"/>
      <c r="I33" s="285"/>
      <c r="J33" s="286"/>
      <c r="K33" s="286"/>
      <c r="L33" s="286"/>
      <c r="M33" s="287"/>
      <c r="N33" s="90"/>
      <c r="O33" s="90"/>
      <c r="U33" s="84"/>
      <c r="V33" s="84"/>
    </row>
    <row r="34" spans="2:22" ht="15" customHeight="1">
      <c r="B34" s="85"/>
      <c r="C34" s="85"/>
      <c r="D34" s="275" t="s">
        <v>67</v>
      </c>
      <c r="E34" s="152"/>
      <c r="F34" s="90"/>
      <c r="G34" s="84"/>
      <c r="H34" s="85"/>
      <c r="I34" s="285"/>
      <c r="J34" s="286"/>
      <c r="K34" s="286"/>
      <c r="L34" s="286"/>
      <c r="M34" s="287"/>
      <c r="N34" s="90"/>
      <c r="O34" s="90"/>
      <c r="U34" s="84"/>
      <c r="V34" s="84"/>
    </row>
    <row r="35" spans="2:22" ht="15" customHeight="1">
      <c r="B35" s="85"/>
      <c r="C35" s="85"/>
      <c r="D35" s="275" t="s">
        <v>68</v>
      </c>
      <c r="E35" s="152"/>
      <c r="F35" s="90"/>
      <c r="G35" s="84"/>
      <c r="H35" s="85"/>
      <c r="I35" s="285"/>
      <c r="J35" s="286"/>
      <c r="K35" s="286"/>
      <c r="L35" s="286"/>
      <c r="M35" s="287"/>
      <c r="N35" s="90"/>
      <c r="O35" s="90"/>
      <c r="U35" s="84"/>
      <c r="V35" s="84"/>
    </row>
    <row r="36" spans="2:22" ht="15" customHeight="1">
      <c r="B36" s="85"/>
      <c r="C36" s="85"/>
      <c r="D36" s="275" t="s">
        <v>101</v>
      </c>
      <c r="E36" s="152"/>
      <c r="F36" s="90"/>
      <c r="G36" s="84"/>
      <c r="H36" s="85"/>
      <c r="I36" s="288"/>
      <c r="J36" s="289"/>
      <c r="K36" s="289"/>
      <c r="L36" s="289"/>
      <c r="M36" s="290"/>
      <c r="N36" s="90"/>
      <c r="O36" s="90"/>
      <c r="U36" s="84"/>
      <c r="V36" s="84"/>
    </row>
    <row r="37" spans="2:22" ht="15" customHeight="1">
      <c r="B37" s="85"/>
      <c r="C37" s="85"/>
      <c r="D37" s="275" t="s">
        <v>102</v>
      </c>
      <c r="E37" s="152"/>
      <c r="F37" s="90"/>
      <c r="G37" s="84"/>
      <c r="H37" s="99"/>
      <c r="I37" s="100"/>
      <c r="J37" s="100"/>
      <c r="K37" s="100"/>
      <c r="L37" s="100"/>
      <c r="M37" s="100"/>
      <c r="N37" s="101"/>
      <c r="O37" s="90"/>
      <c r="U37" s="84"/>
      <c r="V37" s="84"/>
    </row>
    <row r="38" spans="2:22" ht="15" customHeight="1">
      <c r="B38" s="85"/>
      <c r="C38" s="85"/>
      <c r="D38" s="275" t="s">
        <v>103</v>
      </c>
      <c r="E38" s="152"/>
      <c r="F38" s="90"/>
      <c r="G38" s="84"/>
      <c r="H38" s="84"/>
      <c r="I38" s="84"/>
      <c r="J38" s="84"/>
      <c r="K38" s="84"/>
      <c r="L38" s="84"/>
      <c r="M38" s="84"/>
      <c r="N38" s="84"/>
      <c r="O38" s="90"/>
      <c r="U38" s="84"/>
      <c r="V38" s="84"/>
    </row>
    <row r="39" spans="2:22" ht="15" customHeight="1">
      <c r="B39" s="85"/>
      <c r="C39" s="85"/>
      <c r="D39" s="275" t="s">
        <v>155</v>
      </c>
      <c r="E39" s="152"/>
      <c r="F39" s="90"/>
      <c r="G39" s="84"/>
      <c r="H39" s="84"/>
      <c r="I39" s="84"/>
      <c r="J39" s="84"/>
      <c r="K39" s="84"/>
      <c r="L39" s="84"/>
      <c r="M39" s="84"/>
      <c r="N39" s="84"/>
      <c r="O39" s="90"/>
      <c r="U39" s="84"/>
      <c r="V39" s="84"/>
    </row>
    <row r="40" spans="2:22" ht="15" customHeight="1">
      <c r="B40" s="85"/>
      <c r="C40" s="85"/>
      <c r="D40" s="84"/>
      <c r="E40" s="84"/>
      <c r="F40" s="90"/>
      <c r="G40" s="84"/>
      <c r="H40" s="84"/>
      <c r="I40" s="84"/>
      <c r="J40" s="84"/>
      <c r="K40" s="84"/>
      <c r="L40" s="84"/>
      <c r="M40" s="84"/>
      <c r="N40" s="84"/>
      <c r="O40" s="90"/>
      <c r="U40" s="84"/>
      <c r="V40" s="84"/>
    </row>
    <row r="41" spans="2:22" ht="15" customHeight="1">
      <c r="B41" s="85"/>
      <c r="C41" s="85"/>
      <c r="D41" s="103" t="s">
        <v>70</v>
      </c>
      <c r="E41" s="104">
        <f>SUM(E28:E39)</f>
        <v>1699323503</v>
      </c>
      <c r="F41" s="90"/>
      <c r="G41" s="84"/>
      <c r="O41" s="90"/>
    </row>
    <row r="42" spans="2:22" ht="15" customHeight="1">
      <c r="B42" s="85"/>
      <c r="C42" s="85"/>
      <c r="D42" s="84"/>
      <c r="E42" s="84"/>
      <c r="F42" s="90"/>
      <c r="G42" s="84"/>
      <c r="O42" s="90"/>
    </row>
    <row r="43" spans="2:22" ht="15" customHeight="1">
      <c r="B43" s="85"/>
      <c r="C43" s="85"/>
      <c r="D43" s="276" t="s">
        <v>60</v>
      </c>
      <c r="E43" s="277">
        <f>E41/E24</f>
        <v>0.14624126531841652</v>
      </c>
      <c r="F43" s="90"/>
      <c r="G43" s="84"/>
      <c r="O43" s="90"/>
    </row>
    <row r="44" spans="2:22">
      <c r="B44" s="85"/>
      <c r="C44" s="99"/>
      <c r="D44" s="100"/>
      <c r="E44" s="100"/>
      <c r="F44" s="101"/>
      <c r="G44" s="84"/>
      <c r="O44" s="90"/>
    </row>
    <row r="45" spans="2:22">
      <c r="B45" s="85"/>
      <c r="C45" s="85"/>
      <c r="D45" s="350" t="s">
        <v>366</v>
      </c>
      <c r="E45" s="350"/>
      <c r="F45" s="90"/>
      <c r="G45" s="84"/>
      <c r="O45" s="90"/>
    </row>
    <row r="46" spans="2:22">
      <c r="B46" s="85"/>
      <c r="C46" s="85"/>
      <c r="D46" s="84"/>
      <c r="E46" s="84"/>
      <c r="F46" s="90"/>
      <c r="G46" s="84"/>
      <c r="O46" s="90"/>
    </row>
    <row r="47" spans="2:22">
      <c r="B47" s="85"/>
      <c r="C47" s="85"/>
      <c r="D47" s="281" t="s">
        <v>57</v>
      </c>
      <c r="E47" s="151">
        <v>44220</v>
      </c>
      <c r="F47" s="90"/>
      <c r="G47" s="84"/>
      <c r="O47" s="90"/>
    </row>
    <row r="48" spans="2:22">
      <c r="B48" s="85"/>
      <c r="C48" s="85"/>
      <c r="D48" s="281" t="s">
        <v>367</v>
      </c>
      <c r="E48" s="151">
        <v>44339</v>
      </c>
      <c r="F48" s="90"/>
      <c r="G48" s="84"/>
      <c r="O48" s="90"/>
    </row>
    <row r="49" spans="2:15">
      <c r="B49" s="85"/>
      <c r="C49" s="85"/>
      <c r="D49" s="281" t="s">
        <v>368</v>
      </c>
      <c r="E49" s="93">
        <v>4</v>
      </c>
      <c r="F49" s="90"/>
      <c r="G49" s="84"/>
      <c r="O49" s="90"/>
    </row>
    <row r="50" spans="2:15">
      <c r="B50" s="85"/>
      <c r="C50" s="99"/>
      <c r="D50" s="100"/>
      <c r="E50" s="100"/>
      <c r="F50" s="101"/>
      <c r="G50" s="84"/>
      <c r="O50" s="90"/>
    </row>
    <row r="51" spans="2:15">
      <c r="B51" s="85"/>
      <c r="C51" s="84"/>
      <c r="D51" s="84"/>
      <c r="E51" s="84"/>
      <c r="F51" s="84"/>
      <c r="G51" s="84"/>
      <c r="O51" s="90"/>
    </row>
    <row r="52" spans="2:15">
      <c r="B52" s="85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90"/>
    </row>
    <row r="53" spans="2:15" ht="15" customHeight="1">
      <c r="B53" s="85"/>
      <c r="C53" s="410" t="s">
        <v>222</v>
      </c>
      <c r="D53" s="410"/>
      <c r="E53" s="410"/>
      <c r="F53" s="410"/>
      <c r="G53" s="410" t="s">
        <v>221</v>
      </c>
      <c r="H53" s="410"/>
      <c r="I53" s="410"/>
      <c r="J53" s="280" t="s">
        <v>223</v>
      </c>
      <c r="K53" s="280" t="s">
        <v>224</v>
      </c>
      <c r="L53" s="280" t="s">
        <v>225</v>
      </c>
      <c r="M53" s="280" t="s">
        <v>226</v>
      </c>
      <c r="N53" s="84"/>
      <c r="O53" s="90"/>
    </row>
    <row r="54" spans="2:15">
      <c r="B54" s="85"/>
      <c r="C54" s="346" t="s">
        <v>240</v>
      </c>
      <c r="D54" s="346"/>
      <c r="E54" s="346"/>
      <c r="F54" s="346"/>
      <c r="G54" s="346" t="s">
        <v>239</v>
      </c>
      <c r="H54" s="346"/>
      <c r="I54" s="346"/>
      <c r="J54" s="319">
        <v>33.4</v>
      </c>
      <c r="K54" s="241">
        <v>18.399999999999999</v>
      </c>
      <c r="L54" s="320">
        <v>0.95299999999999996</v>
      </c>
      <c r="M54" s="320">
        <v>0.52700000000000002</v>
      </c>
      <c r="N54" s="84"/>
      <c r="O54" s="90"/>
    </row>
    <row r="55" spans="2:15">
      <c r="B55" s="85"/>
      <c r="C55" s="346" t="s">
        <v>251</v>
      </c>
      <c r="D55" s="346"/>
      <c r="E55" s="346"/>
      <c r="F55" s="346"/>
      <c r="G55" s="346" t="s">
        <v>239</v>
      </c>
      <c r="H55" s="346"/>
      <c r="I55" s="346"/>
      <c r="J55" s="103">
        <f>8487+33514+5442</f>
        <v>47443</v>
      </c>
      <c r="K55" s="323">
        <f>3169.4+1053</f>
        <v>4222.3999999999996</v>
      </c>
      <c r="L55" s="324">
        <v>2.6360000000000001</v>
      </c>
      <c r="M55" s="324">
        <v>0.23499999999999999</v>
      </c>
      <c r="N55" s="84"/>
      <c r="O55" s="90"/>
    </row>
    <row r="56" spans="2:15">
      <c r="B56" s="85"/>
      <c r="C56" s="278"/>
      <c r="D56" s="278"/>
      <c r="E56" s="278"/>
      <c r="F56" s="278"/>
      <c r="G56" s="278"/>
      <c r="H56" s="278"/>
      <c r="I56" s="278"/>
      <c r="J56" s="286"/>
      <c r="K56" s="294"/>
      <c r="L56" s="291"/>
      <c r="M56" s="291"/>
      <c r="N56" s="84"/>
      <c r="O56" s="90"/>
    </row>
    <row r="57" spans="2:15">
      <c r="B57" s="99"/>
      <c r="C57" s="100"/>
      <c r="D57" s="100"/>
      <c r="E57" s="100"/>
      <c r="F57" s="100"/>
      <c r="G57" s="100"/>
      <c r="H57" s="100"/>
      <c r="I57" s="100"/>
      <c r="J57" s="84"/>
      <c r="K57" s="84"/>
      <c r="L57" s="84"/>
      <c r="M57" s="84"/>
      <c r="N57" s="84"/>
      <c r="O57" s="101"/>
    </row>
    <row r="58" spans="2:15">
      <c r="J58" s="82"/>
      <c r="K58" s="82"/>
      <c r="L58" s="82"/>
      <c r="M58" s="82"/>
      <c r="N58" s="82"/>
    </row>
  </sheetData>
  <sheetProtection selectLockedCells="1" selectUnlockedCells="1"/>
  <mergeCells count="21">
    <mergeCell ref="D22:E22"/>
    <mergeCell ref="I26:M26"/>
    <mergeCell ref="I30:M30"/>
    <mergeCell ref="D45:E45"/>
    <mergeCell ref="I18:K18"/>
    <mergeCell ref="I22:L22"/>
    <mergeCell ref="C54:F54"/>
    <mergeCell ref="G54:I54"/>
    <mergeCell ref="C55:F55"/>
    <mergeCell ref="G55:I55"/>
    <mergeCell ref="C53:F53"/>
    <mergeCell ref="G53:I53"/>
    <mergeCell ref="I14:J14"/>
    <mergeCell ref="I15:J15"/>
    <mergeCell ref="I16:J16"/>
    <mergeCell ref="C3:F6"/>
    <mergeCell ref="G3:N6"/>
    <mergeCell ref="D9:E9"/>
    <mergeCell ref="I9:M9"/>
    <mergeCell ref="I11:L11"/>
    <mergeCell ref="I13:J13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0"/>
  <dimension ref="B1:W48"/>
  <sheetViews>
    <sheetView showGridLines="0" zoomScale="85" zoomScaleNormal="85" workbookViewId="0">
      <pane ySplit="6" topLeftCell="A7" activePane="bottomLeft" state="frozen"/>
      <selection pane="bottomLeft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8" width="2.85546875" style="80" customWidth="1"/>
    <col min="9" max="9" width="19" style="80" customWidth="1"/>
    <col min="10" max="10" width="21.85546875" style="80" customWidth="1"/>
    <col min="11" max="11" width="17.28515625" style="80" customWidth="1"/>
    <col min="12" max="12" width="19.42578125" style="80" customWidth="1"/>
    <col min="13" max="13" width="16.28515625" style="80" customWidth="1"/>
    <col min="14" max="19" width="2.85546875" style="80" customWidth="1"/>
    <col min="20" max="20" width="19.28515625" style="80" customWidth="1"/>
    <col min="21" max="21" width="17" style="80" customWidth="1"/>
    <col min="22" max="22" width="3.42578125" style="80" customWidth="1"/>
    <col min="23" max="16384" width="10.85546875" style="80"/>
  </cols>
  <sheetData>
    <row r="1" spans="2:23" ht="15" customHeight="1"/>
    <row r="2" spans="2:23" ht="1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4"/>
      <c r="Q2" s="84"/>
      <c r="R2" s="84"/>
      <c r="S2" s="84"/>
      <c r="T2" s="84"/>
      <c r="U2" s="84"/>
      <c r="V2" s="84"/>
    </row>
    <row r="3" spans="2:23" ht="15" customHeight="1">
      <c r="B3" s="85"/>
      <c r="C3" s="343"/>
      <c r="D3" s="343"/>
      <c r="E3" s="343"/>
      <c r="F3" s="343"/>
      <c r="G3" s="436" t="s">
        <v>259</v>
      </c>
      <c r="H3" s="436"/>
      <c r="I3" s="436"/>
      <c r="J3" s="436"/>
      <c r="K3" s="436"/>
      <c r="L3" s="436"/>
      <c r="M3" s="436"/>
      <c r="N3" s="436"/>
      <c r="O3" s="86"/>
      <c r="P3" s="87"/>
      <c r="Q3" s="87"/>
      <c r="R3" s="87"/>
      <c r="S3" s="87"/>
      <c r="T3" s="87"/>
      <c r="U3" s="87"/>
      <c r="V3" s="84"/>
    </row>
    <row r="4" spans="2:23" ht="15" customHeight="1">
      <c r="B4" s="85"/>
      <c r="C4" s="343"/>
      <c r="D4" s="343"/>
      <c r="E4" s="343"/>
      <c r="F4" s="343"/>
      <c r="G4" s="436"/>
      <c r="H4" s="436"/>
      <c r="I4" s="436"/>
      <c r="J4" s="436"/>
      <c r="K4" s="436"/>
      <c r="L4" s="436"/>
      <c r="M4" s="436"/>
      <c r="N4" s="436"/>
      <c r="O4" s="86"/>
      <c r="P4" s="87"/>
      <c r="Q4" s="87"/>
      <c r="R4" s="87"/>
      <c r="S4" s="87"/>
      <c r="T4" s="87"/>
      <c r="U4" s="87"/>
      <c r="V4" s="84"/>
    </row>
    <row r="5" spans="2:23" ht="15" customHeight="1">
      <c r="B5" s="85"/>
      <c r="C5" s="343"/>
      <c r="D5" s="343"/>
      <c r="E5" s="343"/>
      <c r="F5" s="343"/>
      <c r="G5" s="436"/>
      <c r="H5" s="436"/>
      <c r="I5" s="436"/>
      <c r="J5" s="436"/>
      <c r="K5" s="436"/>
      <c r="L5" s="436"/>
      <c r="M5" s="436"/>
      <c r="N5" s="436"/>
      <c r="O5" s="86"/>
      <c r="P5" s="87"/>
      <c r="Q5" s="87"/>
      <c r="R5" s="87"/>
      <c r="S5" s="87"/>
      <c r="T5" s="87"/>
      <c r="U5" s="87"/>
      <c r="V5" s="84"/>
    </row>
    <row r="6" spans="2:23" ht="15" customHeight="1">
      <c r="B6" s="85"/>
      <c r="C6" s="343"/>
      <c r="D6" s="343"/>
      <c r="E6" s="343"/>
      <c r="F6" s="343"/>
      <c r="G6" s="436"/>
      <c r="H6" s="436"/>
      <c r="I6" s="436"/>
      <c r="J6" s="436"/>
      <c r="K6" s="436"/>
      <c r="L6" s="436"/>
      <c r="M6" s="436"/>
      <c r="N6" s="436"/>
      <c r="O6" s="86"/>
      <c r="P6" s="87"/>
      <c r="Q6" s="87"/>
      <c r="R6" s="87"/>
      <c r="S6" s="87"/>
      <c r="T6" s="87"/>
      <c r="U6" s="87"/>
      <c r="V6" s="84"/>
    </row>
    <row r="7" spans="2:23" ht="15" customHeight="1">
      <c r="B7" s="85"/>
      <c r="C7" s="84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  <c r="P7" s="88"/>
      <c r="Q7" s="88"/>
      <c r="R7" s="88"/>
      <c r="S7" s="88"/>
      <c r="T7" s="88"/>
      <c r="U7" s="88"/>
      <c r="V7" s="84"/>
    </row>
    <row r="8" spans="2:23" ht="15" customHeight="1"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3"/>
      <c r="O8" s="90"/>
      <c r="P8" s="84"/>
      <c r="V8" s="84"/>
      <c r="W8" s="84"/>
    </row>
    <row r="9" spans="2:23" ht="15" customHeight="1">
      <c r="B9" s="85"/>
      <c r="C9" s="85"/>
      <c r="D9" s="350" t="s">
        <v>56</v>
      </c>
      <c r="E9" s="350"/>
      <c r="F9" s="90"/>
      <c r="G9" s="84"/>
      <c r="H9" s="85"/>
      <c r="I9" s="350" t="s">
        <v>50</v>
      </c>
      <c r="J9" s="350"/>
      <c r="K9" s="350"/>
      <c r="L9" s="350"/>
      <c r="M9" s="350"/>
      <c r="N9" s="90"/>
      <c r="O9" s="90"/>
      <c r="W9" s="84"/>
    </row>
    <row r="10" spans="2:23" ht="15" customHeight="1"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90"/>
      <c r="O10" s="90"/>
      <c r="W10" s="84"/>
    </row>
    <row r="11" spans="2:23" ht="15" customHeight="1">
      <c r="B11" s="85"/>
      <c r="C11" s="85"/>
      <c r="D11" s="91" t="s">
        <v>57</v>
      </c>
      <c r="E11" s="151">
        <v>43089</v>
      </c>
      <c r="F11" s="90"/>
      <c r="G11" s="84"/>
      <c r="H11" s="85"/>
      <c r="I11" s="351" t="s">
        <v>92</v>
      </c>
      <c r="J11" s="351"/>
      <c r="K11" s="351"/>
      <c r="L11" s="351"/>
      <c r="M11" s="92">
        <v>1</v>
      </c>
      <c r="N11" s="90"/>
      <c r="O11" s="90"/>
      <c r="W11" s="84"/>
    </row>
    <row r="12" spans="2:23" ht="15" customHeight="1">
      <c r="B12" s="85"/>
      <c r="C12" s="85"/>
      <c r="D12" s="91" t="s">
        <v>107</v>
      </c>
      <c r="E12" s="151">
        <v>43774</v>
      </c>
      <c r="F12" s="90"/>
      <c r="G12" s="84"/>
      <c r="H12" s="85"/>
      <c r="I12" s="84"/>
      <c r="J12" s="84"/>
      <c r="K12" s="84"/>
      <c r="L12" s="84"/>
      <c r="M12" s="84"/>
      <c r="N12" s="90"/>
      <c r="O12" s="90"/>
      <c r="W12" s="84"/>
    </row>
    <row r="13" spans="2:23" ht="15" customHeight="1">
      <c r="B13" s="85"/>
      <c r="C13" s="85"/>
      <c r="D13" s="91" t="s">
        <v>59</v>
      </c>
      <c r="E13" s="155">
        <f>E12-E11</f>
        <v>685</v>
      </c>
      <c r="F13" s="90"/>
      <c r="G13" s="84"/>
      <c r="H13" s="85"/>
      <c r="I13" s="344" t="s">
        <v>45</v>
      </c>
      <c r="J13" s="345"/>
      <c r="K13" s="94" t="s">
        <v>94</v>
      </c>
      <c r="L13" s="95" t="s">
        <v>87</v>
      </c>
      <c r="M13" s="95" t="s">
        <v>88</v>
      </c>
      <c r="N13" s="90"/>
      <c r="O13" s="90"/>
      <c r="W13" s="84"/>
    </row>
    <row r="14" spans="2:23" ht="15" customHeight="1">
      <c r="B14" s="85"/>
      <c r="C14" s="85"/>
      <c r="D14" s="96" t="s">
        <v>21</v>
      </c>
      <c r="E14" s="93">
        <f ca="1">TODAY()-E11</f>
        <v>1023</v>
      </c>
      <c r="F14" s="90"/>
      <c r="G14" s="84"/>
      <c r="H14" s="85"/>
      <c r="I14" s="431" t="s">
        <v>106</v>
      </c>
      <c r="J14" s="432"/>
      <c r="K14" s="97">
        <v>40</v>
      </c>
      <c r="L14" s="153">
        <v>40</v>
      </c>
      <c r="M14" s="109">
        <f>+L14/K14</f>
        <v>1</v>
      </c>
      <c r="N14" s="90"/>
      <c r="O14" s="90"/>
      <c r="V14" s="84"/>
      <c r="W14" s="84"/>
    </row>
    <row r="15" spans="2:23" ht="15" customHeight="1">
      <c r="B15" s="85"/>
      <c r="C15" s="85"/>
      <c r="D15" s="84"/>
      <c r="E15" s="84"/>
      <c r="F15" s="90"/>
      <c r="G15" s="84"/>
      <c r="H15" s="85"/>
      <c r="I15" s="84"/>
      <c r="J15" s="84"/>
      <c r="K15" s="84"/>
      <c r="L15" s="84"/>
      <c r="M15" s="88"/>
      <c r="N15" s="90"/>
      <c r="O15" s="90"/>
      <c r="W15" s="84"/>
    </row>
    <row r="16" spans="2:23" ht="15" customHeight="1">
      <c r="B16" s="85"/>
      <c r="C16" s="85"/>
      <c r="D16" s="145" t="s">
        <v>56</v>
      </c>
      <c r="E16" s="147">
        <f ca="1">IF((E14/E13)&gt;100%,100%,(E14/E13))</f>
        <v>1</v>
      </c>
      <c r="F16" s="123"/>
      <c r="G16" s="120"/>
      <c r="H16" s="85"/>
      <c r="I16" s="367" t="s">
        <v>96</v>
      </c>
      <c r="J16" s="367"/>
      <c r="K16" s="367"/>
      <c r="L16" s="145">
        <f>SUM(L14:L15)</f>
        <v>40</v>
      </c>
      <c r="M16" s="148">
        <f>M14*M11</f>
        <v>1</v>
      </c>
      <c r="N16" s="90"/>
      <c r="O16" s="90"/>
      <c r="W16" s="84"/>
    </row>
    <row r="17" spans="2:23" ht="15" customHeight="1">
      <c r="B17" s="85"/>
      <c r="C17" s="99"/>
      <c r="D17" s="100"/>
      <c r="E17" s="100"/>
      <c r="F17" s="101"/>
      <c r="G17" s="84"/>
      <c r="H17" s="99"/>
      <c r="I17" s="100"/>
      <c r="J17" s="100"/>
      <c r="K17" s="100"/>
      <c r="L17" s="100"/>
      <c r="M17" s="100"/>
      <c r="N17" s="101"/>
      <c r="O17" s="90"/>
      <c r="W17" s="84"/>
    </row>
    <row r="18" spans="2:23" ht="15" customHeight="1">
      <c r="B18" s="85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90"/>
      <c r="W18" s="84"/>
    </row>
    <row r="19" spans="2:23" ht="15" customHeight="1">
      <c r="B19" s="85"/>
      <c r="C19" s="81"/>
      <c r="D19" s="82"/>
      <c r="E19" s="82"/>
      <c r="F19" s="83"/>
      <c r="G19" s="84"/>
      <c r="H19" s="81"/>
      <c r="I19" s="82"/>
      <c r="J19" s="82"/>
      <c r="K19" s="82"/>
      <c r="L19" s="82"/>
      <c r="M19" s="82"/>
      <c r="N19" s="83"/>
      <c r="O19" s="90"/>
      <c r="V19" s="84"/>
      <c r="W19" s="84"/>
    </row>
    <row r="20" spans="2:23" ht="15" customHeight="1">
      <c r="B20" s="85"/>
      <c r="C20" s="85"/>
      <c r="D20" s="350" t="s">
        <v>60</v>
      </c>
      <c r="E20" s="350"/>
      <c r="F20" s="90"/>
      <c r="G20" s="84"/>
      <c r="H20" s="85"/>
      <c r="I20" s="348" t="s">
        <v>89</v>
      </c>
      <c r="J20" s="348"/>
      <c r="K20" s="348"/>
      <c r="L20" s="348"/>
      <c r="M20" s="437">
        <f>M16</f>
        <v>1</v>
      </c>
      <c r="N20" s="90"/>
      <c r="O20" s="90"/>
      <c r="V20" s="84"/>
      <c r="W20" s="84"/>
    </row>
    <row r="21" spans="2:23" ht="15" customHeight="1">
      <c r="B21" s="85"/>
      <c r="C21" s="85"/>
      <c r="D21" s="84"/>
      <c r="E21" s="84"/>
      <c r="F21" s="90"/>
      <c r="G21" s="84"/>
      <c r="H21" s="85"/>
      <c r="I21" s="348"/>
      <c r="J21" s="348"/>
      <c r="K21" s="348"/>
      <c r="L21" s="348"/>
      <c r="M21" s="437"/>
      <c r="N21" s="90"/>
      <c r="O21" s="90"/>
      <c r="V21" s="84"/>
      <c r="W21" s="84"/>
    </row>
    <row r="22" spans="2:23" ht="15" customHeight="1">
      <c r="B22" s="85"/>
      <c r="C22" s="85"/>
      <c r="D22" s="97" t="s">
        <v>69</v>
      </c>
      <c r="E22" s="102">
        <v>5088355205</v>
      </c>
      <c r="F22" s="90"/>
      <c r="G22" s="84"/>
      <c r="H22" s="99"/>
      <c r="I22" s="100"/>
      <c r="J22" s="100"/>
      <c r="K22" s="100"/>
      <c r="L22" s="100"/>
      <c r="M22" s="100"/>
      <c r="N22" s="101"/>
      <c r="O22" s="90"/>
      <c r="V22" s="84"/>
      <c r="W22" s="84"/>
    </row>
    <row r="23" spans="2:23" ht="15" customHeight="1">
      <c r="B23" s="85"/>
      <c r="C23" s="85"/>
      <c r="D23" s="84"/>
      <c r="E23" s="84"/>
      <c r="F23" s="90"/>
      <c r="G23" s="84"/>
      <c r="H23" s="84"/>
      <c r="I23" s="84"/>
      <c r="J23" s="84"/>
      <c r="K23" s="84"/>
      <c r="L23" s="84"/>
      <c r="M23" s="84"/>
      <c r="N23" s="84"/>
      <c r="O23" s="90"/>
      <c r="V23" s="84"/>
      <c r="W23" s="84"/>
    </row>
    <row r="24" spans="2:23" ht="15" customHeight="1">
      <c r="B24" s="85"/>
      <c r="C24" s="85"/>
      <c r="D24" s="97" t="s">
        <v>61</v>
      </c>
      <c r="E24" s="152">
        <v>102557718</v>
      </c>
      <c r="F24" s="90"/>
      <c r="G24" s="84"/>
      <c r="H24" s="81"/>
      <c r="I24" s="119"/>
      <c r="J24" s="119"/>
      <c r="K24" s="119"/>
      <c r="L24" s="119"/>
      <c r="M24" s="119"/>
      <c r="N24" s="83"/>
      <c r="O24" s="90"/>
      <c r="V24" s="84"/>
      <c r="W24" s="84"/>
    </row>
    <row r="25" spans="2:23" ht="15" customHeight="1">
      <c r="B25" s="85"/>
      <c r="C25" s="85"/>
      <c r="D25" s="97" t="s">
        <v>62</v>
      </c>
      <c r="E25" s="152">
        <v>373398427</v>
      </c>
      <c r="F25" s="90"/>
      <c r="G25" s="84"/>
      <c r="H25" s="85"/>
      <c r="I25" s="368" t="s">
        <v>90</v>
      </c>
      <c r="J25" s="368"/>
      <c r="K25" s="368"/>
      <c r="L25" s="368"/>
      <c r="M25" s="368"/>
      <c r="N25" s="90"/>
      <c r="O25" s="90"/>
      <c r="V25" s="84"/>
      <c r="W25" s="84"/>
    </row>
    <row r="26" spans="2:23" ht="15" customHeight="1">
      <c r="B26" s="85"/>
      <c r="C26" s="85"/>
      <c r="D26" s="97" t="s">
        <v>63</v>
      </c>
      <c r="E26" s="152">
        <v>356099534</v>
      </c>
      <c r="F26" s="90"/>
      <c r="G26" s="84"/>
      <c r="H26" s="99"/>
      <c r="I26" s="100"/>
      <c r="J26" s="100"/>
      <c r="K26" s="100"/>
      <c r="L26" s="100"/>
      <c r="M26" s="100"/>
      <c r="N26" s="101"/>
      <c r="O26" s="90"/>
      <c r="V26" s="84"/>
      <c r="W26" s="84"/>
    </row>
    <row r="27" spans="2:23" ht="15" customHeight="1">
      <c r="B27" s="85"/>
      <c r="C27" s="85"/>
      <c r="D27" s="97" t="s">
        <v>64</v>
      </c>
      <c r="E27" s="152">
        <v>184503645</v>
      </c>
      <c r="F27" s="90"/>
      <c r="G27" s="84"/>
      <c r="H27" s="84"/>
      <c r="I27" s="84"/>
      <c r="J27" s="84"/>
      <c r="K27" s="84"/>
      <c r="L27" s="84"/>
      <c r="M27" s="84"/>
      <c r="N27" s="84"/>
      <c r="O27" s="90"/>
      <c r="V27" s="84"/>
      <c r="W27" s="84"/>
    </row>
    <row r="28" spans="2:23" ht="15" customHeight="1">
      <c r="B28" s="85"/>
      <c r="C28" s="85"/>
      <c r="D28" s="97" t="s">
        <v>65</v>
      </c>
      <c r="E28" s="152">
        <v>358672621</v>
      </c>
      <c r="F28" s="90"/>
      <c r="G28" s="84"/>
      <c r="H28" s="84"/>
      <c r="I28" s="84"/>
      <c r="J28" s="84"/>
      <c r="K28" s="84"/>
      <c r="L28" s="84"/>
      <c r="M28" s="84"/>
      <c r="N28" s="84"/>
      <c r="O28" s="90"/>
      <c r="V28" s="84"/>
      <c r="W28" s="84"/>
    </row>
    <row r="29" spans="2:23" ht="15" customHeight="1">
      <c r="B29" s="85"/>
      <c r="C29" s="85"/>
      <c r="D29" s="97" t="s">
        <v>66</v>
      </c>
      <c r="E29" s="152">
        <v>559216392</v>
      </c>
      <c r="F29" s="90"/>
      <c r="G29" s="84"/>
      <c r="H29" s="84"/>
      <c r="I29" s="84"/>
      <c r="J29" s="84"/>
      <c r="K29" s="84"/>
      <c r="L29" s="84"/>
      <c r="M29" s="84"/>
      <c r="N29" s="84"/>
      <c r="O29" s="90"/>
      <c r="V29" s="84"/>
      <c r="W29" s="84"/>
    </row>
    <row r="30" spans="2:23" ht="15" customHeight="1">
      <c r="B30" s="85"/>
      <c r="C30" s="85"/>
      <c r="D30" s="97" t="s">
        <v>67</v>
      </c>
      <c r="E30" s="152">
        <v>14104803</v>
      </c>
      <c r="F30" s="90"/>
      <c r="G30" s="84"/>
      <c r="H30" s="84"/>
      <c r="I30" s="84"/>
      <c r="J30" s="84"/>
      <c r="K30" s="84"/>
      <c r="L30" s="84"/>
      <c r="M30" s="84"/>
      <c r="N30" s="84"/>
      <c r="O30" s="90"/>
      <c r="V30" s="84"/>
      <c r="W30" s="84"/>
    </row>
    <row r="31" spans="2:23" ht="15" customHeight="1">
      <c r="B31" s="85"/>
      <c r="C31" s="85"/>
      <c r="D31" s="97" t="s">
        <v>68</v>
      </c>
      <c r="E31" s="152">
        <v>766644383</v>
      </c>
      <c r="F31" s="90"/>
      <c r="G31" s="84"/>
      <c r="H31" s="84"/>
      <c r="I31" s="84"/>
      <c r="J31" s="84"/>
      <c r="K31" s="84"/>
      <c r="L31" s="84"/>
      <c r="M31" s="84"/>
      <c r="N31" s="84"/>
      <c r="O31" s="90"/>
      <c r="V31" s="84"/>
      <c r="W31" s="84"/>
    </row>
    <row r="32" spans="2:23" ht="15" customHeight="1">
      <c r="B32" s="85"/>
      <c r="C32" s="85"/>
      <c r="D32" s="97" t="s">
        <v>101</v>
      </c>
      <c r="E32" s="152">
        <v>249447460</v>
      </c>
      <c r="F32" s="90"/>
      <c r="G32" s="84"/>
      <c r="H32" s="84"/>
      <c r="I32" s="84"/>
      <c r="J32" s="84"/>
      <c r="K32" s="84"/>
      <c r="L32" s="84"/>
      <c r="M32" s="84"/>
      <c r="N32" s="84"/>
      <c r="O32" s="90"/>
      <c r="V32" s="84"/>
      <c r="W32" s="84"/>
    </row>
    <row r="33" spans="2:23" ht="15" customHeight="1">
      <c r="B33" s="85"/>
      <c r="C33" s="85"/>
      <c r="D33" s="97" t="s">
        <v>102</v>
      </c>
      <c r="E33" s="152">
        <v>870595564</v>
      </c>
      <c r="F33" s="90"/>
      <c r="G33" s="84"/>
      <c r="H33" s="84"/>
      <c r="I33" s="84"/>
      <c r="J33" s="84"/>
      <c r="K33" s="84"/>
      <c r="L33" s="84"/>
      <c r="M33" s="84"/>
      <c r="N33" s="84"/>
      <c r="O33" s="90"/>
      <c r="V33" s="84"/>
      <c r="W33" s="84"/>
    </row>
    <row r="34" spans="2:23" ht="15" customHeight="1">
      <c r="B34" s="85"/>
      <c r="C34" s="85"/>
      <c r="D34" s="97" t="s">
        <v>103</v>
      </c>
      <c r="E34" s="152">
        <v>739114945</v>
      </c>
      <c r="F34" s="90"/>
      <c r="G34" s="84"/>
      <c r="H34" s="84"/>
      <c r="I34" s="84"/>
      <c r="J34" s="84"/>
      <c r="K34" s="84"/>
      <c r="L34" s="84"/>
      <c r="M34" s="84"/>
      <c r="N34" s="84"/>
      <c r="O34" s="90"/>
      <c r="V34" s="84"/>
      <c r="W34" s="84"/>
    </row>
    <row r="35" spans="2:23" ht="15" customHeight="1">
      <c r="B35" s="85"/>
      <c r="C35" s="85"/>
      <c r="D35" s="97" t="s">
        <v>155</v>
      </c>
      <c r="E35" s="152">
        <v>0</v>
      </c>
      <c r="F35" s="90"/>
      <c r="G35" s="84"/>
      <c r="H35" s="84"/>
      <c r="I35" s="84"/>
      <c r="J35" s="84"/>
      <c r="K35" s="84"/>
      <c r="L35" s="84"/>
      <c r="M35" s="84"/>
      <c r="N35" s="84"/>
      <c r="O35" s="90"/>
      <c r="V35" s="84"/>
      <c r="W35" s="84"/>
    </row>
    <row r="36" spans="2:23" ht="15" customHeight="1">
      <c r="B36" s="85"/>
      <c r="C36" s="85"/>
      <c r="D36" s="84"/>
      <c r="E36" s="84"/>
      <c r="F36" s="90"/>
      <c r="G36" s="84"/>
      <c r="H36" s="84"/>
      <c r="I36" s="84"/>
      <c r="J36" s="84"/>
      <c r="K36" s="84"/>
      <c r="L36" s="84"/>
      <c r="M36" s="84"/>
      <c r="N36" s="84"/>
      <c r="O36" s="90"/>
      <c r="V36" s="84"/>
      <c r="W36" s="84"/>
    </row>
    <row r="37" spans="2:23" ht="15" customHeight="1">
      <c r="B37" s="85"/>
      <c r="C37" s="85"/>
      <c r="D37" s="103" t="s">
        <v>70</v>
      </c>
      <c r="E37" s="104">
        <f>SUM(E24:E35)</f>
        <v>4574355492</v>
      </c>
      <c r="F37" s="90"/>
      <c r="G37" s="84"/>
      <c r="H37" s="84"/>
      <c r="I37" s="84"/>
      <c r="J37" s="84"/>
      <c r="K37" s="84"/>
      <c r="L37" s="84"/>
      <c r="M37" s="84"/>
      <c r="N37" s="84"/>
      <c r="O37" s="90"/>
      <c r="V37" s="84"/>
      <c r="W37" s="84"/>
    </row>
    <row r="38" spans="2:23" ht="15" customHeight="1">
      <c r="B38" s="85"/>
      <c r="C38" s="85"/>
      <c r="D38" s="84"/>
      <c r="E38" s="84"/>
      <c r="F38" s="90"/>
      <c r="G38" s="84"/>
      <c r="H38" s="84"/>
      <c r="I38" s="84"/>
      <c r="J38" s="84"/>
      <c r="K38" s="84"/>
      <c r="L38" s="84"/>
      <c r="M38" s="84"/>
      <c r="N38" s="84"/>
      <c r="O38" s="90"/>
      <c r="V38" s="84"/>
      <c r="W38" s="84"/>
    </row>
    <row r="39" spans="2:23" ht="15" customHeight="1">
      <c r="B39" s="85"/>
      <c r="C39" s="85"/>
      <c r="D39" s="145" t="s">
        <v>60</v>
      </c>
      <c r="E39" s="147">
        <f>E37/E22</f>
        <v>0.89898509591175446</v>
      </c>
      <c r="F39" s="90"/>
      <c r="G39" s="84"/>
      <c r="H39" s="84"/>
      <c r="I39" s="84"/>
      <c r="J39" s="84"/>
      <c r="K39" s="84"/>
      <c r="L39" s="84"/>
      <c r="M39" s="84"/>
      <c r="N39" s="84"/>
      <c r="O39" s="90"/>
    </row>
    <row r="40" spans="2:23" ht="15" customHeight="1">
      <c r="B40" s="85"/>
      <c r="C40" s="99"/>
      <c r="D40" s="100"/>
      <c r="E40" s="100"/>
      <c r="F40" s="101"/>
      <c r="G40" s="84"/>
      <c r="H40" s="84"/>
      <c r="I40" s="84"/>
      <c r="J40" s="84"/>
      <c r="K40" s="84"/>
      <c r="L40" s="84"/>
      <c r="M40" s="84"/>
      <c r="N40" s="84"/>
      <c r="O40" s="90"/>
    </row>
    <row r="41" spans="2:23" ht="15" customHeight="1">
      <c r="B41" s="85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90"/>
    </row>
    <row r="42" spans="2:23" ht="30" customHeight="1">
      <c r="B42" s="85"/>
      <c r="C42" s="410" t="s">
        <v>222</v>
      </c>
      <c r="D42" s="410"/>
      <c r="E42" s="410"/>
      <c r="F42" s="410"/>
      <c r="G42" s="410" t="s">
        <v>221</v>
      </c>
      <c r="H42" s="410"/>
      <c r="I42" s="410"/>
      <c r="J42" s="232" t="s">
        <v>223</v>
      </c>
      <c r="K42" s="232" t="s">
        <v>224</v>
      </c>
      <c r="L42" s="232" t="s">
        <v>225</v>
      </c>
      <c r="M42" s="232" t="s">
        <v>226</v>
      </c>
      <c r="N42" s="84"/>
      <c r="O42" s="90"/>
    </row>
    <row r="43" spans="2:23" ht="30" customHeight="1">
      <c r="B43" s="85"/>
      <c r="C43" s="346" t="s">
        <v>242</v>
      </c>
      <c r="D43" s="346"/>
      <c r="E43" s="346"/>
      <c r="F43" s="346"/>
      <c r="G43" s="343" t="s">
        <v>241</v>
      </c>
      <c r="H43" s="343"/>
      <c r="I43" s="343"/>
      <c r="J43" s="225">
        <v>44</v>
      </c>
      <c r="K43" s="237">
        <v>40</v>
      </c>
      <c r="L43" s="228">
        <v>1.1499999999999999</v>
      </c>
      <c r="M43" s="228">
        <v>1</v>
      </c>
      <c r="N43" s="84"/>
      <c r="O43" s="90"/>
    </row>
    <row r="44" spans="2:23" ht="15" customHeight="1">
      <c r="B44" s="85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90"/>
    </row>
    <row r="45" spans="2:23" ht="15" customHeight="1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4"/>
      <c r="Q45" s="84"/>
      <c r="R45" s="84"/>
    </row>
    <row r="46" spans="2:23" ht="15" customHeight="1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</row>
    <row r="47" spans="2:23" ht="15" customHeight="1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</row>
    <row r="48" spans="2:23" ht="15" customHeight="1">
      <c r="C48" s="84"/>
      <c r="D48" s="84"/>
      <c r="E48" s="84"/>
      <c r="F48" s="84"/>
    </row>
  </sheetData>
  <sheetProtection algorithmName="SHA-512" hashValue="kksiw00VAmCrnKh0uEdUeUMi2Vn1sILy42JGHk95Q3AP+87FhtFpwyV0Hvww3Rb1nhUkLxwVoiq5i5+tU2UqGw==" saltValue="+cdJWhQPhBn5QYnxvwgr3A==" spinCount="100000" sheet="1" scenarios="1" selectLockedCells="1" selectUnlockedCells="1"/>
  <mergeCells count="16">
    <mergeCell ref="C42:F42"/>
    <mergeCell ref="G42:I42"/>
    <mergeCell ref="C43:F43"/>
    <mergeCell ref="G43:I43"/>
    <mergeCell ref="D9:E9"/>
    <mergeCell ref="I9:M9"/>
    <mergeCell ref="C3:F6"/>
    <mergeCell ref="G3:N6"/>
    <mergeCell ref="I20:L21"/>
    <mergeCell ref="M20:M21"/>
    <mergeCell ref="I25:M25"/>
    <mergeCell ref="D20:E20"/>
    <mergeCell ref="I11:L11"/>
    <mergeCell ref="I13:J13"/>
    <mergeCell ref="I14:J14"/>
    <mergeCell ref="I16:K16"/>
  </mergeCells>
  <hyperlinks>
    <hyperlink ref="I25:M25" location="GRAFICAS!H19" display="CLICK - GRAFICA DASHBOARD " xr:uid="{00000000-0004-0000-0C00-000000000000}"/>
  </hyperlink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"/>
  <dimension ref="B1:AD52"/>
  <sheetViews>
    <sheetView showGridLines="0" zoomScale="85" zoomScaleNormal="85" workbookViewId="0">
      <pane ySplit="6" topLeftCell="A10" activePane="bottomLeft" state="frozen"/>
      <selection pane="bottomLeft" activeCell="E14" sqref="E14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8" width="2.85546875" style="80" customWidth="1"/>
    <col min="9" max="9" width="11.42578125" style="80" customWidth="1"/>
    <col min="10" max="10" width="16.7109375" style="80" customWidth="1"/>
    <col min="11" max="13" width="15.7109375" style="80" customWidth="1"/>
    <col min="14" max="15" width="2.85546875" style="80" customWidth="1"/>
    <col min="16" max="16" width="6" style="80" customWidth="1"/>
    <col min="17" max="17" width="50.42578125" style="80" customWidth="1"/>
    <col min="18" max="21" width="18.7109375" style="80" customWidth="1"/>
    <col min="22" max="23" width="2.85546875" style="80" customWidth="1"/>
    <col min="24" max="16384" width="10.85546875" style="80"/>
  </cols>
  <sheetData>
    <row r="1" spans="2:25" ht="15" customHeight="1"/>
    <row r="2" spans="2:25" ht="1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3"/>
    </row>
    <row r="3" spans="2:25" ht="15" customHeight="1">
      <c r="B3" s="85"/>
      <c r="C3" s="376"/>
      <c r="D3" s="377"/>
      <c r="E3" s="377"/>
      <c r="F3" s="378"/>
      <c r="G3" s="442" t="s">
        <v>364</v>
      </c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90"/>
      <c r="Y3" s="274" t="s">
        <v>365</v>
      </c>
    </row>
    <row r="4" spans="2:25" ht="15" customHeight="1">
      <c r="B4" s="85"/>
      <c r="C4" s="379"/>
      <c r="D4" s="355"/>
      <c r="E4" s="355"/>
      <c r="F4" s="380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90"/>
    </row>
    <row r="5" spans="2:25" ht="15" customHeight="1">
      <c r="B5" s="85"/>
      <c r="C5" s="379"/>
      <c r="D5" s="355"/>
      <c r="E5" s="355"/>
      <c r="F5" s="380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90"/>
    </row>
    <row r="6" spans="2:25" ht="15" customHeight="1">
      <c r="B6" s="85"/>
      <c r="C6" s="381"/>
      <c r="D6" s="382"/>
      <c r="E6" s="382"/>
      <c r="F6" s="383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90"/>
    </row>
    <row r="7" spans="2:25" ht="15" customHeight="1">
      <c r="B7" s="85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90"/>
    </row>
    <row r="8" spans="2:25" ht="15" customHeight="1"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3"/>
      <c r="O8" s="84"/>
      <c r="P8" s="81"/>
      <c r="Q8" s="82"/>
      <c r="R8" s="82"/>
      <c r="S8" s="82"/>
      <c r="T8" s="82"/>
      <c r="U8" s="82"/>
      <c r="V8" s="83"/>
      <c r="W8" s="90"/>
    </row>
    <row r="9" spans="2:25" ht="15" customHeight="1">
      <c r="B9" s="85"/>
      <c r="C9" s="85"/>
      <c r="D9" s="350" t="s">
        <v>56</v>
      </c>
      <c r="E9" s="350"/>
      <c r="F9" s="90"/>
      <c r="G9" s="84"/>
      <c r="H9" s="85"/>
      <c r="I9" s="350" t="s">
        <v>147</v>
      </c>
      <c r="J9" s="350"/>
      <c r="K9" s="350"/>
      <c r="L9" s="350"/>
      <c r="M9" s="350"/>
      <c r="N9" s="90"/>
      <c r="O9" s="84"/>
      <c r="P9" s="85"/>
      <c r="Q9" s="435" t="s">
        <v>123</v>
      </c>
      <c r="R9" s="435"/>
      <c r="S9" s="435"/>
      <c r="T9" s="435"/>
      <c r="U9" s="435"/>
      <c r="V9" s="90"/>
      <c r="W9" s="90"/>
    </row>
    <row r="10" spans="2:25" ht="15" customHeight="1"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90"/>
      <c r="O10" s="84"/>
      <c r="P10" s="85"/>
      <c r="Q10" s="84"/>
      <c r="R10" s="84"/>
      <c r="S10" s="84"/>
      <c r="T10" s="84"/>
      <c r="U10" s="84"/>
      <c r="V10" s="90"/>
      <c r="W10" s="90"/>
    </row>
    <row r="11" spans="2:25" ht="15" customHeight="1">
      <c r="B11" s="85"/>
      <c r="C11" s="85"/>
      <c r="D11" s="210" t="s">
        <v>57</v>
      </c>
      <c r="E11" s="151">
        <v>43711</v>
      </c>
      <c r="F11" s="90"/>
      <c r="G11" s="84"/>
      <c r="H11" s="85"/>
      <c r="I11" s="351" t="s">
        <v>72</v>
      </c>
      <c r="J11" s="351"/>
      <c r="K11" s="351"/>
      <c r="L11" s="351"/>
      <c r="M11" s="92">
        <v>0.25</v>
      </c>
      <c r="N11" s="90"/>
      <c r="O11" s="84"/>
      <c r="P11" s="85"/>
      <c r="Q11" s="351" t="s">
        <v>72</v>
      </c>
      <c r="R11" s="351"/>
      <c r="S11" s="351"/>
      <c r="T11" s="351"/>
      <c r="U11" s="92">
        <v>0.25</v>
      </c>
      <c r="V11" s="90"/>
      <c r="W11" s="90"/>
    </row>
    <row r="12" spans="2:25" ht="15" customHeight="1">
      <c r="B12" s="85"/>
      <c r="C12" s="85"/>
      <c r="D12" s="210" t="s">
        <v>58</v>
      </c>
      <c r="E12" s="151">
        <v>44086</v>
      </c>
      <c r="F12" s="90"/>
      <c r="G12" s="84"/>
      <c r="H12" s="85"/>
      <c r="I12" s="84"/>
      <c r="J12" s="84"/>
      <c r="K12" s="84"/>
      <c r="L12" s="84"/>
      <c r="M12" s="84"/>
      <c r="N12" s="90"/>
      <c r="O12" s="84"/>
      <c r="P12" s="85"/>
      <c r="Q12" s="100"/>
      <c r="R12" s="100"/>
      <c r="S12" s="100"/>
      <c r="T12" s="100"/>
      <c r="U12" s="100"/>
      <c r="V12" s="90"/>
      <c r="W12" s="90"/>
    </row>
    <row r="13" spans="2:25" ht="15" customHeight="1">
      <c r="B13" s="85"/>
      <c r="C13" s="85"/>
      <c r="D13" s="210" t="s">
        <v>210</v>
      </c>
      <c r="E13" s="151">
        <v>43909</v>
      </c>
      <c r="F13" s="90"/>
      <c r="G13" s="84"/>
      <c r="H13" s="85"/>
      <c r="I13" s="84"/>
      <c r="J13" s="84"/>
      <c r="K13" s="354" t="s">
        <v>91</v>
      </c>
      <c r="L13" s="354"/>
      <c r="M13" s="84"/>
      <c r="N13" s="90"/>
      <c r="O13" s="84"/>
      <c r="P13" s="85"/>
      <c r="Q13" s="124" t="s">
        <v>121</v>
      </c>
      <c r="R13" s="124" t="s">
        <v>85</v>
      </c>
      <c r="S13" s="124" t="s">
        <v>86</v>
      </c>
      <c r="T13" s="125" t="s">
        <v>87</v>
      </c>
      <c r="U13" s="125" t="s">
        <v>88</v>
      </c>
      <c r="V13" s="90"/>
      <c r="W13" s="90"/>
    </row>
    <row r="14" spans="2:25" ht="15" customHeight="1">
      <c r="B14" s="85"/>
      <c r="C14" s="85"/>
      <c r="D14" s="210" t="s">
        <v>218</v>
      </c>
      <c r="E14" s="151">
        <v>44043</v>
      </c>
      <c r="F14" s="90"/>
      <c r="G14" s="84"/>
      <c r="H14" s="85"/>
      <c r="I14" s="97">
        <v>1</v>
      </c>
      <c r="J14" s="121" t="s">
        <v>108</v>
      </c>
      <c r="K14" s="394" t="s">
        <v>154</v>
      </c>
      <c r="L14" s="394"/>
      <c r="M14" s="109" t="str">
        <f>IF(K14="SI","2,5%","0%")</f>
        <v>2,5%</v>
      </c>
      <c r="N14" s="90"/>
      <c r="O14" s="84"/>
      <c r="P14" s="85"/>
      <c r="Q14" s="91" t="s">
        <v>126</v>
      </c>
      <c r="R14" s="97">
        <v>1</v>
      </c>
      <c r="S14" s="97">
        <v>1</v>
      </c>
      <c r="T14" s="316">
        <v>1</v>
      </c>
      <c r="U14" s="98">
        <f>+T14/S14</f>
        <v>1</v>
      </c>
      <c r="V14" s="90"/>
      <c r="W14" s="90"/>
    </row>
    <row r="15" spans="2:25" ht="15" customHeight="1">
      <c r="B15" s="85"/>
      <c r="C15" s="85"/>
      <c r="D15" s="210" t="s">
        <v>59</v>
      </c>
      <c r="E15" s="155">
        <f>IFERROR(E12-E11,"")</f>
        <v>375</v>
      </c>
      <c r="F15" s="90"/>
      <c r="G15" s="84"/>
      <c r="H15" s="85"/>
      <c r="I15" s="97">
        <v>2</v>
      </c>
      <c r="J15" s="121" t="s">
        <v>109</v>
      </c>
      <c r="K15" s="439" t="s">
        <v>154</v>
      </c>
      <c r="L15" s="440"/>
      <c r="M15" s="109" t="str">
        <f t="shared" ref="M15:M23" si="0">IF(K15="SI","2,5%","0%")</f>
        <v>2,5%</v>
      </c>
      <c r="N15" s="90"/>
      <c r="O15" s="84"/>
      <c r="P15" s="85"/>
      <c r="Q15" s="126" t="s">
        <v>122</v>
      </c>
      <c r="R15" s="97">
        <v>2</v>
      </c>
      <c r="S15" s="97">
        <v>4</v>
      </c>
      <c r="T15" s="316">
        <v>4</v>
      </c>
      <c r="U15" s="98">
        <f t="shared" ref="U15:U16" si="1">+T15/S15</f>
        <v>1</v>
      </c>
      <c r="V15" s="90"/>
      <c r="W15" s="90"/>
    </row>
    <row r="16" spans="2:25" ht="15" customHeight="1">
      <c r="B16" s="85"/>
      <c r="C16" s="85"/>
      <c r="D16" s="96" t="s">
        <v>21</v>
      </c>
      <c r="E16" s="155">
        <f ca="1">TODAY()-E11</f>
        <v>401</v>
      </c>
      <c r="F16" s="90"/>
      <c r="G16" s="84"/>
      <c r="H16" s="85"/>
      <c r="I16" s="97">
        <v>3</v>
      </c>
      <c r="J16" s="121" t="s">
        <v>110</v>
      </c>
      <c r="K16" s="439" t="s">
        <v>154</v>
      </c>
      <c r="L16" s="440"/>
      <c r="M16" s="109" t="str">
        <f t="shared" si="0"/>
        <v>2,5%</v>
      </c>
      <c r="N16" s="90"/>
      <c r="O16" s="84"/>
      <c r="P16" s="85"/>
      <c r="Q16" s="91" t="s">
        <v>127</v>
      </c>
      <c r="R16" s="97">
        <v>1</v>
      </c>
      <c r="S16" s="97">
        <v>4</v>
      </c>
      <c r="T16" s="316">
        <v>4</v>
      </c>
      <c r="U16" s="98">
        <f t="shared" si="1"/>
        <v>1</v>
      </c>
      <c r="V16" s="90"/>
      <c r="W16" s="90"/>
    </row>
    <row r="17" spans="2:30" ht="15" customHeight="1">
      <c r="B17" s="85"/>
      <c r="C17" s="85"/>
      <c r="D17" s="84"/>
      <c r="E17" s="84"/>
      <c r="F17" s="90"/>
      <c r="G17" s="84"/>
      <c r="H17" s="85"/>
      <c r="I17" s="97">
        <v>4</v>
      </c>
      <c r="J17" s="121" t="s">
        <v>111</v>
      </c>
      <c r="K17" s="439" t="s">
        <v>154</v>
      </c>
      <c r="L17" s="440"/>
      <c r="M17" s="109" t="str">
        <f t="shared" si="0"/>
        <v>2,5%</v>
      </c>
      <c r="N17" s="90"/>
      <c r="O17" s="84"/>
      <c r="P17" s="85"/>
      <c r="Q17" s="84"/>
      <c r="R17" s="84"/>
      <c r="S17" s="84"/>
      <c r="T17" s="84"/>
      <c r="U17" s="88"/>
      <c r="V17" s="90"/>
      <c r="W17" s="90"/>
    </row>
    <row r="18" spans="2:30" ht="15" customHeight="1">
      <c r="B18" s="85"/>
      <c r="C18" s="85"/>
      <c r="D18" s="203" t="s">
        <v>56</v>
      </c>
      <c r="E18" s="206">
        <f ca="1">IFERROR(IF((E16/E15)&gt;100%,100%,(E16/E15)),"")</f>
        <v>1</v>
      </c>
      <c r="F18" s="90"/>
      <c r="G18" s="84"/>
      <c r="H18" s="85"/>
      <c r="I18" s="97">
        <v>5</v>
      </c>
      <c r="J18" s="121" t="s">
        <v>112</v>
      </c>
      <c r="K18" s="439" t="s">
        <v>154</v>
      </c>
      <c r="L18" s="440"/>
      <c r="M18" s="109" t="str">
        <f t="shared" si="0"/>
        <v>2,5%</v>
      </c>
      <c r="N18" s="90"/>
      <c r="O18" s="84"/>
      <c r="P18" s="85"/>
      <c r="Q18" s="367" t="s">
        <v>145</v>
      </c>
      <c r="R18" s="367"/>
      <c r="S18" s="145">
        <f>+S14+S15+S16</f>
        <v>9</v>
      </c>
      <c r="T18" s="145">
        <f>SUM(T14:T16)</f>
        <v>9</v>
      </c>
      <c r="U18" s="146">
        <f>+(T18/S18)*U11</f>
        <v>0.25</v>
      </c>
      <c r="V18" s="90"/>
      <c r="W18" s="90"/>
    </row>
    <row r="19" spans="2:30" ht="15" customHeight="1">
      <c r="B19" s="85"/>
      <c r="C19" s="99"/>
      <c r="D19" s="100"/>
      <c r="E19" s="100"/>
      <c r="F19" s="101"/>
      <c r="G19" s="84"/>
      <c r="H19" s="85"/>
      <c r="I19" s="97">
        <v>6</v>
      </c>
      <c r="J19" s="121" t="s">
        <v>113</v>
      </c>
      <c r="K19" s="439" t="s">
        <v>154</v>
      </c>
      <c r="L19" s="440"/>
      <c r="M19" s="109" t="str">
        <f t="shared" si="0"/>
        <v>2,5%</v>
      </c>
      <c r="N19" s="90"/>
      <c r="O19" s="84"/>
      <c r="P19" s="99"/>
      <c r="Q19" s="100"/>
      <c r="R19" s="100"/>
      <c r="S19" s="100"/>
      <c r="T19" s="100"/>
      <c r="U19" s="100"/>
      <c r="V19" s="101"/>
      <c r="W19" s="90"/>
    </row>
    <row r="20" spans="2:30" ht="15" customHeight="1">
      <c r="B20" s="85"/>
      <c r="C20" s="84"/>
      <c r="D20" s="84"/>
      <c r="E20" s="84"/>
      <c r="F20" s="84"/>
      <c r="G20" s="84"/>
      <c r="H20" s="85"/>
      <c r="I20" s="97">
        <v>7</v>
      </c>
      <c r="J20" s="121" t="s">
        <v>114</v>
      </c>
      <c r="K20" s="439" t="s">
        <v>154</v>
      </c>
      <c r="L20" s="440"/>
      <c r="M20" s="109" t="str">
        <f t="shared" si="0"/>
        <v>2,5%</v>
      </c>
      <c r="N20" s="90"/>
      <c r="O20" s="84"/>
      <c r="P20" s="84"/>
      <c r="Q20" s="84"/>
      <c r="R20" s="84"/>
      <c r="S20" s="84"/>
      <c r="T20" s="84"/>
      <c r="U20" s="84"/>
      <c r="V20" s="84"/>
      <c r="W20" s="90"/>
    </row>
    <row r="21" spans="2:30" ht="15" customHeight="1">
      <c r="B21" s="85"/>
      <c r="C21" s="84"/>
      <c r="D21" s="84"/>
      <c r="E21" s="84"/>
      <c r="F21" s="84"/>
      <c r="G21" s="84"/>
      <c r="H21" s="85"/>
      <c r="I21" s="97">
        <v>8</v>
      </c>
      <c r="J21" s="121" t="s">
        <v>115</v>
      </c>
      <c r="K21" s="439" t="s">
        <v>154</v>
      </c>
      <c r="L21" s="440"/>
      <c r="M21" s="109" t="str">
        <f t="shared" si="0"/>
        <v>2,5%</v>
      </c>
      <c r="N21" s="90"/>
      <c r="O21" s="84"/>
      <c r="P21" s="81"/>
      <c r="Q21" s="82"/>
      <c r="R21" s="82"/>
      <c r="S21" s="82"/>
      <c r="T21" s="82"/>
      <c r="U21" s="82"/>
      <c r="V21" s="83"/>
      <c r="W21" s="90"/>
    </row>
    <row r="22" spans="2:30" ht="15" customHeight="1">
      <c r="B22" s="85"/>
      <c r="C22" s="81"/>
      <c r="D22" s="82"/>
      <c r="E22" s="82"/>
      <c r="F22" s="83"/>
      <c r="G22" s="84"/>
      <c r="H22" s="85"/>
      <c r="I22" s="97">
        <v>9</v>
      </c>
      <c r="J22" s="121" t="s">
        <v>116</v>
      </c>
      <c r="K22" s="439" t="s">
        <v>154</v>
      </c>
      <c r="L22" s="440"/>
      <c r="M22" s="109" t="str">
        <f t="shared" si="0"/>
        <v>2,5%</v>
      </c>
      <c r="N22" s="90"/>
      <c r="O22" s="84"/>
      <c r="P22" s="85"/>
      <c r="Q22" s="350" t="s">
        <v>124</v>
      </c>
      <c r="R22" s="350"/>
      <c r="S22" s="350"/>
      <c r="T22" s="350"/>
      <c r="U22" s="350"/>
      <c r="V22" s="90"/>
      <c r="W22" s="90"/>
    </row>
    <row r="23" spans="2:30" ht="15" customHeight="1">
      <c r="B23" s="85"/>
      <c r="C23" s="85"/>
      <c r="D23" s="350" t="s">
        <v>60</v>
      </c>
      <c r="E23" s="350"/>
      <c r="F23" s="90"/>
      <c r="G23" s="84"/>
      <c r="H23" s="85"/>
      <c r="I23" s="97">
        <v>10</v>
      </c>
      <c r="J23" s="121" t="s">
        <v>117</v>
      </c>
      <c r="K23" s="441" t="s">
        <v>71</v>
      </c>
      <c r="L23" s="440"/>
      <c r="M23" s="109" t="str">
        <f t="shared" si="0"/>
        <v>0%</v>
      </c>
      <c r="N23" s="90"/>
      <c r="O23" s="84"/>
      <c r="P23" s="85"/>
      <c r="Q23" s="84"/>
      <c r="R23" s="84"/>
      <c r="S23" s="84"/>
      <c r="T23" s="84"/>
      <c r="U23" s="84"/>
      <c r="V23" s="90"/>
      <c r="W23" s="90"/>
    </row>
    <row r="24" spans="2:30" ht="15" customHeight="1">
      <c r="B24" s="85"/>
      <c r="C24" s="85"/>
      <c r="D24" s="84"/>
      <c r="E24" s="84"/>
      <c r="F24" s="90"/>
      <c r="G24" s="84"/>
      <c r="H24" s="85"/>
      <c r="I24" s="84"/>
      <c r="J24" s="84"/>
      <c r="K24" s="84"/>
      <c r="L24" s="84"/>
      <c r="M24" s="84"/>
      <c r="N24" s="90"/>
      <c r="O24" s="84"/>
      <c r="P24" s="85"/>
      <c r="Q24" s="351" t="s">
        <v>72</v>
      </c>
      <c r="R24" s="351"/>
      <c r="S24" s="351"/>
      <c r="T24" s="351"/>
      <c r="U24" s="92">
        <v>0.25</v>
      </c>
      <c r="V24" s="90"/>
      <c r="W24" s="90"/>
    </row>
    <row r="25" spans="2:30" ht="15" customHeight="1">
      <c r="B25" s="85"/>
      <c r="C25" s="85"/>
      <c r="D25" s="97" t="s">
        <v>69</v>
      </c>
      <c r="E25" s="102">
        <v>233972186</v>
      </c>
      <c r="F25" s="90"/>
      <c r="G25" s="84"/>
      <c r="H25" s="85"/>
      <c r="I25" s="348" t="s">
        <v>142</v>
      </c>
      <c r="J25" s="348"/>
      <c r="K25" s="348"/>
      <c r="L25" s="349">
        <f>+M14+M15+M16+M17+M18+M19+M20+M21+M22+M23</f>
        <v>0.22499999999999998</v>
      </c>
      <c r="M25" s="349"/>
      <c r="N25" s="90"/>
      <c r="O25" s="84"/>
      <c r="P25" s="85"/>
      <c r="Q25" s="84"/>
      <c r="R25" s="84"/>
      <c r="S25" s="84"/>
      <c r="T25" s="84"/>
      <c r="U25" s="84"/>
      <c r="V25" s="90"/>
      <c r="W25" s="90"/>
    </row>
    <row r="26" spans="2:30" ht="15" customHeight="1">
      <c r="B26" s="85"/>
      <c r="C26" s="85"/>
      <c r="D26" s="84"/>
      <c r="E26" s="84"/>
      <c r="F26" s="90"/>
      <c r="G26" s="84"/>
      <c r="H26" s="99"/>
      <c r="I26" s="100"/>
      <c r="J26" s="100"/>
      <c r="K26" s="100"/>
      <c r="L26" s="100"/>
      <c r="M26" s="100"/>
      <c r="N26" s="101"/>
      <c r="O26" s="84"/>
      <c r="P26" s="85"/>
      <c r="Q26" s="84"/>
      <c r="R26" s="84"/>
      <c r="S26" s="354" t="s">
        <v>91</v>
      </c>
      <c r="T26" s="354"/>
      <c r="U26" s="84"/>
      <c r="V26" s="90"/>
      <c r="W26" s="90"/>
    </row>
    <row r="27" spans="2:30" ht="15" customHeight="1">
      <c r="B27" s="85"/>
      <c r="C27" s="85"/>
      <c r="D27" s="97" t="s">
        <v>61</v>
      </c>
      <c r="E27" s="152">
        <v>7685311</v>
      </c>
      <c r="F27" s="90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433" t="s">
        <v>125</v>
      </c>
      <c r="R27" s="434"/>
      <c r="S27" s="394" t="s">
        <v>154</v>
      </c>
      <c r="T27" s="394"/>
      <c r="U27" s="127" t="str">
        <f>IF(S27="SI","25%","0%")</f>
        <v>25%</v>
      </c>
      <c r="V27" s="90"/>
      <c r="W27" s="90"/>
    </row>
    <row r="28" spans="2:30" ht="15" customHeight="1">
      <c r="B28" s="85"/>
      <c r="C28" s="85"/>
      <c r="D28" s="97" t="s">
        <v>62</v>
      </c>
      <c r="E28" s="152">
        <v>8732111</v>
      </c>
      <c r="F28" s="90"/>
      <c r="G28" s="84"/>
      <c r="H28" s="81"/>
      <c r="I28" s="82"/>
      <c r="J28" s="82"/>
      <c r="K28" s="82"/>
      <c r="L28" s="82"/>
      <c r="M28" s="82"/>
      <c r="N28" s="83"/>
      <c r="O28" s="84"/>
      <c r="P28" s="85"/>
      <c r="Q28" s="84"/>
      <c r="R28" s="84"/>
      <c r="S28" s="84"/>
      <c r="T28" s="84"/>
      <c r="U28" s="84"/>
      <c r="V28" s="90"/>
      <c r="W28" s="90"/>
      <c r="X28" s="106"/>
      <c r="Y28" s="106"/>
      <c r="Z28" s="106"/>
      <c r="AA28" s="106"/>
      <c r="AB28" s="106"/>
      <c r="AC28" s="106"/>
      <c r="AD28" s="106"/>
    </row>
    <row r="29" spans="2:30" ht="15" customHeight="1">
      <c r="B29" s="85"/>
      <c r="C29" s="85"/>
      <c r="D29" s="97" t="s">
        <v>63</v>
      </c>
      <c r="E29" s="152">
        <v>7685311</v>
      </c>
      <c r="F29" s="90"/>
      <c r="G29" s="84"/>
      <c r="H29" s="85"/>
      <c r="I29" s="350" t="s">
        <v>118</v>
      </c>
      <c r="J29" s="350"/>
      <c r="K29" s="350"/>
      <c r="L29" s="350"/>
      <c r="M29" s="350"/>
      <c r="N29" s="90"/>
      <c r="O29" s="84"/>
      <c r="P29" s="85"/>
      <c r="Q29" s="348" t="s">
        <v>148</v>
      </c>
      <c r="R29" s="348"/>
      <c r="S29" s="348"/>
      <c r="T29" s="438" t="str">
        <f>U27</f>
        <v>25%</v>
      </c>
      <c r="U29" s="438"/>
      <c r="V29" s="90"/>
      <c r="W29" s="90"/>
      <c r="X29" s="106"/>
      <c r="Y29" s="128"/>
      <c r="Z29" s="128"/>
      <c r="AA29" s="128"/>
      <c r="AB29" s="128"/>
      <c r="AC29" s="128"/>
      <c r="AD29" s="106"/>
    </row>
    <row r="30" spans="2:30" ht="15" customHeight="1">
      <c r="B30" s="85"/>
      <c r="C30" s="85"/>
      <c r="D30" s="97" t="s">
        <v>64</v>
      </c>
      <c r="E30" s="152">
        <v>131769316</v>
      </c>
      <c r="F30" s="90"/>
      <c r="G30" s="84"/>
      <c r="H30" s="85"/>
      <c r="I30" s="84"/>
      <c r="J30" s="84"/>
      <c r="K30" s="84"/>
      <c r="L30" s="84"/>
      <c r="M30" s="84"/>
      <c r="N30" s="90"/>
      <c r="O30" s="84"/>
      <c r="P30" s="99"/>
      <c r="Q30" s="100"/>
      <c r="R30" s="100"/>
      <c r="S30" s="100"/>
      <c r="T30" s="100"/>
      <c r="U30" s="100"/>
      <c r="V30" s="101"/>
      <c r="W30" s="90"/>
      <c r="X30" s="106"/>
      <c r="Y30" s="106"/>
      <c r="Z30" s="106"/>
      <c r="AA30" s="106"/>
      <c r="AB30" s="106"/>
      <c r="AC30" s="106"/>
      <c r="AD30" s="106"/>
    </row>
    <row r="31" spans="2:30" ht="15" customHeight="1">
      <c r="B31" s="85"/>
      <c r="C31" s="85"/>
      <c r="D31" s="97" t="s">
        <v>65</v>
      </c>
      <c r="E31" s="152">
        <v>7827761</v>
      </c>
      <c r="F31" s="90"/>
      <c r="G31" s="84"/>
      <c r="H31" s="85"/>
      <c r="I31" s="351" t="s">
        <v>72</v>
      </c>
      <c r="J31" s="351"/>
      <c r="K31" s="351"/>
      <c r="L31" s="351"/>
      <c r="M31" s="92">
        <v>0.25</v>
      </c>
      <c r="N31" s="90"/>
      <c r="O31" s="84"/>
      <c r="P31" s="84"/>
      <c r="Q31" s="84"/>
      <c r="R31" s="84"/>
      <c r="S31" s="84"/>
      <c r="T31" s="84"/>
      <c r="U31" s="84"/>
      <c r="V31" s="84"/>
      <c r="W31" s="90"/>
      <c r="X31" s="106"/>
      <c r="Y31" s="128"/>
      <c r="Z31" s="128"/>
      <c r="AA31" s="128"/>
      <c r="AB31" s="128"/>
      <c r="AC31" s="129"/>
      <c r="AD31" s="106"/>
    </row>
    <row r="32" spans="2:30" ht="15" customHeight="1">
      <c r="B32" s="85"/>
      <c r="C32" s="85"/>
      <c r="D32" s="97" t="s">
        <v>66</v>
      </c>
      <c r="E32" s="152">
        <v>14970093</v>
      </c>
      <c r="F32" s="90"/>
      <c r="G32" s="84"/>
      <c r="H32" s="85"/>
      <c r="I32" s="100"/>
      <c r="J32" s="100"/>
      <c r="K32" s="100"/>
      <c r="L32" s="100"/>
      <c r="M32" s="100"/>
      <c r="N32" s="90"/>
      <c r="O32" s="84"/>
      <c r="P32" s="81"/>
      <c r="Q32" s="82"/>
      <c r="R32" s="82"/>
      <c r="S32" s="82"/>
      <c r="T32" s="82"/>
      <c r="U32" s="82"/>
      <c r="V32" s="83"/>
      <c r="W32" s="90"/>
      <c r="X32" s="106"/>
      <c r="Y32" s="106"/>
      <c r="Z32" s="106"/>
      <c r="AA32" s="106"/>
      <c r="AB32" s="106"/>
      <c r="AC32" s="106"/>
      <c r="AD32" s="106"/>
    </row>
    <row r="33" spans="2:30" ht="15" customHeight="1">
      <c r="B33" s="85"/>
      <c r="C33" s="85"/>
      <c r="D33" s="97" t="s">
        <v>67</v>
      </c>
      <c r="E33" s="152">
        <v>0</v>
      </c>
      <c r="F33" s="90"/>
      <c r="G33" s="84"/>
      <c r="H33" s="85"/>
      <c r="I33" s="363" t="s">
        <v>45</v>
      </c>
      <c r="J33" s="363"/>
      <c r="K33" s="363" t="s">
        <v>94</v>
      </c>
      <c r="L33" s="363" t="s">
        <v>120</v>
      </c>
      <c r="M33" s="443" t="s">
        <v>88</v>
      </c>
      <c r="N33" s="90"/>
      <c r="O33" s="84"/>
      <c r="P33" s="85"/>
      <c r="Q33" s="348" t="s">
        <v>89</v>
      </c>
      <c r="R33" s="348"/>
      <c r="S33" s="348"/>
      <c r="T33" s="349">
        <f>+T29+U18+L25+M37</f>
        <v>0.97499999999999998</v>
      </c>
      <c r="U33" s="349"/>
      <c r="V33" s="90"/>
      <c r="W33" s="90"/>
      <c r="X33" s="106"/>
      <c r="Y33" s="107"/>
      <c r="Z33" s="107"/>
      <c r="AA33" s="107"/>
      <c r="AB33" s="107"/>
      <c r="AC33" s="107"/>
      <c r="AD33" s="106"/>
    </row>
    <row r="34" spans="2:30" ht="15" customHeight="1">
      <c r="B34" s="85"/>
      <c r="C34" s="85"/>
      <c r="D34" s="97" t="s">
        <v>68</v>
      </c>
      <c r="E34" s="152">
        <v>0</v>
      </c>
      <c r="F34" s="90"/>
      <c r="G34" s="84"/>
      <c r="H34" s="85"/>
      <c r="I34" s="410"/>
      <c r="J34" s="410"/>
      <c r="K34" s="410"/>
      <c r="L34" s="410"/>
      <c r="M34" s="444"/>
      <c r="N34" s="90"/>
      <c r="O34" s="84"/>
      <c r="P34" s="85"/>
      <c r="Q34" s="348"/>
      <c r="R34" s="348"/>
      <c r="S34" s="348"/>
      <c r="T34" s="349"/>
      <c r="U34" s="349"/>
      <c r="V34" s="90"/>
      <c r="W34" s="90"/>
      <c r="X34" s="106"/>
      <c r="Y34" s="130"/>
      <c r="Z34" s="130"/>
      <c r="AA34" s="130"/>
      <c r="AB34" s="131"/>
      <c r="AC34" s="132"/>
      <c r="AD34" s="106"/>
    </row>
    <row r="35" spans="2:30" ht="15" customHeight="1">
      <c r="B35" s="85"/>
      <c r="C35" s="85"/>
      <c r="D35" s="84"/>
      <c r="E35" s="84"/>
      <c r="F35" s="90"/>
      <c r="G35" s="84"/>
      <c r="H35" s="85"/>
      <c r="I35" s="409" t="s">
        <v>119</v>
      </c>
      <c r="J35" s="409"/>
      <c r="K35" s="103">
        <v>23</v>
      </c>
      <c r="L35" s="316">
        <v>23</v>
      </c>
      <c r="M35" s="98">
        <f>+L35/K35</f>
        <v>1</v>
      </c>
      <c r="N35" s="90"/>
      <c r="O35" s="84"/>
      <c r="P35" s="99"/>
      <c r="Q35" s="100"/>
      <c r="R35" s="100"/>
      <c r="S35" s="100"/>
      <c r="T35" s="100"/>
      <c r="U35" s="100"/>
      <c r="V35" s="101"/>
      <c r="W35" s="90"/>
      <c r="X35" s="106"/>
      <c r="Y35" s="106"/>
      <c r="Z35" s="106"/>
      <c r="AA35" s="106"/>
      <c r="AB35" s="106"/>
      <c r="AC35" s="106"/>
      <c r="AD35" s="106"/>
    </row>
    <row r="36" spans="2:30" ht="15" customHeight="1">
      <c r="B36" s="85"/>
      <c r="C36" s="85"/>
      <c r="D36" s="103" t="s">
        <v>70</v>
      </c>
      <c r="E36" s="104">
        <f>SUM(E27:E34)</f>
        <v>178669903</v>
      </c>
      <c r="F36" s="90"/>
      <c r="G36" s="84"/>
      <c r="H36" s="85"/>
      <c r="I36" s="84"/>
      <c r="J36" s="84"/>
      <c r="K36" s="84"/>
      <c r="L36" s="84"/>
      <c r="M36" s="84"/>
      <c r="N36" s="90"/>
      <c r="O36" s="84"/>
      <c r="P36" s="84"/>
      <c r="Q36" s="84"/>
      <c r="R36" s="84"/>
      <c r="S36" s="84"/>
      <c r="T36" s="84"/>
      <c r="U36" s="84"/>
      <c r="V36" s="84"/>
      <c r="W36" s="90"/>
      <c r="X36" s="106"/>
      <c r="Y36" s="133"/>
      <c r="Z36" s="133"/>
      <c r="AA36" s="115"/>
      <c r="AB36" s="115"/>
      <c r="AC36" s="116"/>
      <c r="AD36" s="106"/>
    </row>
    <row r="37" spans="2:30" ht="15" customHeight="1">
      <c r="B37" s="85"/>
      <c r="C37" s="85"/>
      <c r="D37" s="84"/>
      <c r="E37" s="84"/>
      <c r="F37" s="90"/>
      <c r="G37" s="84"/>
      <c r="H37" s="85"/>
      <c r="I37" s="367" t="s">
        <v>143</v>
      </c>
      <c r="J37" s="367"/>
      <c r="K37" s="145">
        <f>K35</f>
        <v>23</v>
      </c>
      <c r="L37" s="145">
        <f>L35</f>
        <v>23</v>
      </c>
      <c r="M37" s="146">
        <f>+L37/K37*M31</f>
        <v>0.25</v>
      </c>
      <c r="N37" s="90"/>
      <c r="O37" s="84"/>
      <c r="P37" s="81"/>
      <c r="Q37" s="82"/>
      <c r="R37" s="82"/>
      <c r="S37" s="82"/>
      <c r="T37" s="82"/>
      <c r="U37" s="82"/>
      <c r="V37" s="83"/>
      <c r="W37" s="90"/>
      <c r="X37" s="106"/>
      <c r="Y37" s="133"/>
      <c r="Z37" s="133"/>
      <c r="AA37" s="115"/>
      <c r="AB37" s="115"/>
      <c r="AC37" s="116"/>
      <c r="AD37" s="106"/>
    </row>
    <row r="38" spans="2:30" ht="15" customHeight="1">
      <c r="B38" s="85"/>
      <c r="C38" s="85"/>
      <c r="D38" s="145" t="s">
        <v>60</v>
      </c>
      <c r="E38" s="146">
        <f>E36/E25</f>
        <v>0.76363736243418268</v>
      </c>
      <c r="F38" s="90"/>
      <c r="G38" s="84"/>
      <c r="H38" s="99"/>
      <c r="I38" s="100"/>
      <c r="J38" s="100"/>
      <c r="K38" s="100"/>
      <c r="L38" s="100"/>
      <c r="M38" s="100"/>
      <c r="N38" s="101"/>
      <c r="O38" s="84"/>
      <c r="P38" s="85"/>
      <c r="Q38" s="368" t="s">
        <v>90</v>
      </c>
      <c r="R38" s="368"/>
      <c r="S38" s="368"/>
      <c r="T38" s="368"/>
      <c r="U38" s="368"/>
      <c r="V38" s="90"/>
      <c r="W38" s="90"/>
      <c r="X38" s="106"/>
      <c r="Y38" s="106"/>
      <c r="Z38" s="106"/>
      <c r="AA38" s="106"/>
      <c r="AB38" s="106"/>
      <c r="AC38" s="106"/>
      <c r="AD38" s="106"/>
    </row>
    <row r="39" spans="2:30" ht="15" customHeight="1">
      <c r="B39" s="85"/>
      <c r="C39" s="99"/>
      <c r="D39" s="100"/>
      <c r="E39" s="100"/>
      <c r="F39" s="101"/>
      <c r="G39" s="84"/>
      <c r="H39" s="84"/>
      <c r="I39" s="84"/>
      <c r="J39" s="84"/>
      <c r="K39" s="84"/>
      <c r="L39" s="84"/>
      <c r="M39" s="84"/>
      <c r="N39" s="84"/>
      <c r="O39" s="84"/>
      <c r="P39" s="99"/>
      <c r="Q39" s="100"/>
      <c r="R39" s="100"/>
      <c r="S39" s="100"/>
      <c r="T39" s="100"/>
      <c r="U39" s="100"/>
      <c r="V39" s="101"/>
      <c r="W39" s="90"/>
    </row>
    <row r="40" spans="2:30" ht="15" customHeight="1">
      <c r="B40" s="85"/>
      <c r="C40" s="85"/>
      <c r="D40" s="350" t="s">
        <v>366</v>
      </c>
      <c r="E40" s="350"/>
      <c r="F40" s="90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90"/>
    </row>
    <row r="41" spans="2:30" ht="15" customHeight="1">
      <c r="B41" s="85"/>
      <c r="C41" s="85"/>
      <c r="D41" s="84"/>
      <c r="E41" s="84"/>
      <c r="F41" s="90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90"/>
    </row>
    <row r="42" spans="2:30" ht="15" customHeight="1">
      <c r="B42" s="85"/>
      <c r="C42" s="85"/>
      <c r="D42" s="281" t="s">
        <v>57</v>
      </c>
      <c r="E42" s="151">
        <v>43923</v>
      </c>
      <c r="F42" s="90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90"/>
    </row>
    <row r="43" spans="2:30" ht="15" customHeight="1">
      <c r="B43" s="85"/>
      <c r="C43" s="85"/>
      <c r="D43" s="281" t="s">
        <v>367</v>
      </c>
      <c r="E43" s="151">
        <v>43952</v>
      </c>
      <c r="F43" s="90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90"/>
    </row>
    <row r="44" spans="2:30" ht="15" customHeight="1">
      <c r="B44" s="85"/>
      <c r="C44" s="85"/>
      <c r="D44" s="281" t="s">
        <v>368</v>
      </c>
      <c r="E44" s="93">
        <v>1</v>
      </c>
      <c r="F44" s="90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90"/>
    </row>
    <row r="45" spans="2:30" ht="15" customHeight="1">
      <c r="B45" s="85"/>
      <c r="C45" s="99"/>
      <c r="D45" s="100"/>
      <c r="E45" s="100"/>
      <c r="F45" s="101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90"/>
    </row>
    <row r="46" spans="2:30" ht="15" customHeight="1">
      <c r="B46" s="85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90"/>
    </row>
    <row r="47" spans="2:30" ht="36.950000000000003" customHeight="1">
      <c r="B47" s="85"/>
      <c r="C47" s="84"/>
      <c r="D47" s="354" t="s">
        <v>222</v>
      </c>
      <c r="E47" s="354"/>
      <c r="F47" s="354"/>
      <c r="G47" s="354"/>
      <c r="H47" s="354" t="s">
        <v>221</v>
      </c>
      <c r="I47" s="354"/>
      <c r="J47" s="354"/>
      <c r="K47" s="226" t="s">
        <v>223</v>
      </c>
      <c r="L47" s="226" t="s">
        <v>224</v>
      </c>
      <c r="M47" s="229" t="s">
        <v>225</v>
      </c>
      <c r="N47" s="410" t="s">
        <v>226</v>
      </c>
      <c r="O47" s="410"/>
      <c r="P47" s="410"/>
      <c r="Q47" s="120"/>
      <c r="R47" s="84"/>
      <c r="S47" s="84"/>
      <c r="T47" s="84"/>
      <c r="U47" s="84"/>
      <c r="V47" s="84"/>
      <c r="W47" s="90"/>
    </row>
    <row r="48" spans="2:30" ht="48" customHeight="1">
      <c r="B48" s="85"/>
      <c r="C48" s="84"/>
      <c r="D48" s="346" t="s">
        <v>243</v>
      </c>
      <c r="E48" s="346"/>
      <c r="F48" s="346"/>
      <c r="G48" s="346"/>
      <c r="H48" s="376" t="s">
        <v>245</v>
      </c>
      <c r="I48" s="377"/>
      <c r="J48" s="378"/>
      <c r="K48" s="189">
        <v>32</v>
      </c>
      <c r="L48" s="189">
        <v>24</v>
      </c>
      <c r="M48" s="228">
        <v>0.78800000000000003</v>
      </c>
      <c r="N48" s="395">
        <v>0.65</v>
      </c>
      <c r="O48" s="395"/>
      <c r="P48" s="395"/>
      <c r="Q48" s="120"/>
      <c r="R48" s="84"/>
      <c r="S48" s="84"/>
      <c r="T48" s="84"/>
      <c r="U48" s="84"/>
      <c r="V48" s="84"/>
      <c r="W48" s="90"/>
    </row>
    <row r="49" spans="2:23" ht="32.1" customHeight="1">
      <c r="B49" s="85"/>
      <c r="C49" s="84"/>
      <c r="D49" s="346" t="s">
        <v>244</v>
      </c>
      <c r="E49" s="346"/>
      <c r="F49" s="346"/>
      <c r="G49" s="346"/>
      <c r="H49" s="381"/>
      <c r="I49" s="382"/>
      <c r="J49" s="383"/>
      <c r="K49" s="103">
        <f>150+200+150+150</f>
        <v>650</v>
      </c>
      <c r="L49" s="321">
        <f>150+200+50</f>
        <v>400</v>
      </c>
      <c r="M49" s="228">
        <v>1.083</v>
      </c>
      <c r="N49" s="395">
        <v>0.66700000000000004</v>
      </c>
      <c r="O49" s="395"/>
      <c r="P49" s="395"/>
      <c r="Q49" s="84"/>
      <c r="R49" s="84"/>
      <c r="S49" s="84"/>
      <c r="T49" s="84"/>
      <c r="U49" s="84"/>
      <c r="V49" s="84"/>
      <c r="W49" s="90"/>
    </row>
    <row r="50" spans="2:23" ht="15" customHeight="1">
      <c r="B50" s="99"/>
      <c r="C50" s="100"/>
      <c r="D50" s="100"/>
      <c r="E50" s="100"/>
      <c r="F50" s="100"/>
      <c r="G50" s="100"/>
      <c r="H50" s="100"/>
      <c r="I50" s="100"/>
      <c r="J50" s="134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1"/>
    </row>
    <row r="51" spans="2:23">
      <c r="C51" s="84"/>
      <c r="D51" s="84"/>
      <c r="E51" s="84"/>
      <c r="F51" s="84"/>
    </row>
    <row r="52" spans="2:23">
      <c r="C52" s="84"/>
      <c r="D52" s="84"/>
      <c r="E52" s="84"/>
      <c r="F52" s="84"/>
    </row>
  </sheetData>
  <sheetProtection selectLockedCells="1" selectUnlockedCells="1"/>
  <mergeCells count="49">
    <mergeCell ref="D40:E40"/>
    <mergeCell ref="D47:G47"/>
    <mergeCell ref="H47:J47"/>
    <mergeCell ref="D49:G49"/>
    <mergeCell ref="N49:P49"/>
    <mergeCell ref="N47:P47"/>
    <mergeCell ref="D48:G48"/>
    <mergeCell ref="H48:J49"/>
    <mergeCell ref="N48:P48"/>
    <mergeCell ref="Q38:U38"/>
    <mergeCell ref="D23:E23"/>
    <mergeCell ref="Q9:U9"/>
    <mergeCell ref="Q22:U22"/>
    <mergeCell ref="Q24:T24"/>
    <mergeCell ref="S26:T26"/>
    <mergeCell ref="S27:T27"/>
    <mergeCell ref="Q27:R27"/>
    <mergeCell ref="K33:K34"/>
    <mergeCell ref="L33:L34"/>
    <mergeCell ref="M33:M34"/>
    <mergeCell ref="I11:L11"/>
    <mergeCell ref="K13:L13"/>
    <mergeCell ref="I29:M29"/>
    <mergeCell ref="I37:J37"/>
    <mergeCell ref="Q18:R18"/>
    <mergeCell ref="I31:L31"/>
    <mergeCell ref="I33:J34"/>
    <mergeCell ref="I35:J35"/>
    <mergeCell ref="Q33:S34"/>
    <mergeCell ref="T33:U34"/>
    <mergeCell ref="K19:L19"/>
    <mergeCell ref="K20:L20"/>
    <mergeCell ref="K21:L21"/>
    <mergeCell ref="C3:F6"/>
    <mergeCell ref="G3:V6"/>
    <mergeCell ref="D9:E9"/>
    <mergeCell ref="I9:M9"/>
    <mergeCell ref="Q11:T11"/>
    <mergeCell ref="K16:L16"/>
    <mergeCell ref="K17:L17"/>
    <mergeCell ref="K18:L18"/>
    <mergeCell ref="K14:L14"/>
    <mergeCell ref="K15:L15"/>
    <mergeCell ref="L25:M25"/>
    <mergeCell ref="I25:K25"/>
    <mergeCell ref="T29:U29"/>
    <mergeCell ref="Q29:S29"/>
    <mergeCell ref="K22:L22"/>
    <mergeCell ref="K23:L23"/>
  </mergeCells>
  <hyperlinks>
    <hyperlink ref="Q38:U38" location="'PROYECTOS DASHBOARD'!Q38" display="CLICK - GRAFICA DASHBOARD " xr:uid="{00000000-0004-0000-0D00-000000000000}"/>
  </hyperlink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/>
  <dimension ref="A1:W47"/>
  <sheetViews>
    <sheetView showGridLines="0" zoomScale="85" zoomScaleNormal="85" workbookViewId="0">
      <pane ySplit="6" topLeftCell="A7" activePane="bottomLeft" state="frozen"/>
      <selection pane="bottomLeft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8" width="2.85546875" style="80" customWidth="1"/>
    <col min="9" max="9" width="10.85546875" style="80"/>
    <col min="10" max="10" width="16.7109375" style="80" customWidth="1"/>
    <col min="11" max="11" width="22.42578125" style="80" customWidth="1"/>
    <col min="12" max="14" width="22.7109375" style="80" customWidth="1"/>
    <col min="15" max="17" width="2.85546875" style="80" customWidth="1"/>
    <col min="18" max="18" width="46" style="80" customWidth="1"/>
    <col min="19" max="19" width="12.85546875" style="80" customWidth="1"/>
    <col min="20" max="20" width="3.42578125" style="80" customWidth="1"/>
    <col min="21" max="21" width="2.85546875" style="80" customWidth="1"/>
    <col min="22" max="22" width="17" style="80" customWidth="1"/>
    <col min="23" max="23" width="3.42578125" style="80" customWidth="1"/>
    <col min="24" max="16384" width="10.85546875" style="80"/>
  </cols>
  <sheetData>
    <row r="1" spans="1:23" ht="1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23" ht="15" customHeight="1">
      <c r="A2" s="84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/>
      <c r="W2" s="84"/>
    </row>
    <row r="3" spans="1:23" ht="15" customHeight="1">
      <c r="A3" s="84"/>
      <c r="B3" s="85"/>
      <c r="C3" s="343"/>
      <c r="D3" s="343"/>
      <c r="E3" s="343"/>
      <c r="F3" s="343"/>
      <c r="G3" s="446" t="s">
        <v>260</v>
      </c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86"/>
      <c r="V3" s="87"/>
      <c r="W3" s="84"/>
    </row>
    <row r="4" spans="1:23" ht="15" customHeight="1">
      <c r="A4" s="84"/>
      <c r="B4" s="85"/>
      <c r="C4" s="343"/>
      <c r="D4" s="343"/>
      <c r="E4" s="343"/>
      <c r="F4" s="343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86"/>
      <c r="V4" s="87"/>
      <c r="W4" s="84"/>
    </row>
    <row r="5" spans="1:23" ht="15" customHeight="1">
      <c r="A5" s="84"/>
      <c r="B5" s="85"/>
      <c r="C5" s="343"/>
      <c r="D5" s="343"/>
      <c r="E5" s="343"/>
      <c r="F5" s="343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86"/>
      <c r="V5" s="87"/>
      <c r="W5" s="84"/>
    </row>
    <row r="6" spans="1:23" ht="15" customHeight="1">
      <c r="A6" s="84"/>
      <c r="B6" s="85"/>
      <c r="C6" s="343"/>
      <c r="D6" s="343"/>
      <c r="E6" s="343"/>
      <c r="F6" s="343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86"/>
      <c r="V6" s="87"/>
      <c r="W6" s="84"/>
    </row>
    <row r="7" spans="1:23" ht="15" customHeight="1">
      <c r="A7" s="84"/>
      <c r="B7" s="85"/>
      <c r="C7" s="84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88"/>
      <c r="W7" s="84"/>
    </row>
    <row r="8" spans="1:23" ht="15" customHeight="1">
      <c r="A8" s="84"/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2"/>
      <c r="O8" s="83"/>
      <c r="P8" s="84"/>
      <c r="Q8" s="81"/>
      <c r="R8" s="82"/>
      <c r="S8" s="82"/>
      <c r="T8" s="83"/>
      <c r="U8" s="90"/>
    </row>
    <row r="9" spans="1:23" ht="15" customHeight="1">
      <c r="A9" s="84"/>
      <c r="B9" s="85"/>
      <c r="C9" s="85"/>
      <c r="D9" s="350" t="s">
        <v>56</v>
      </c>
      <c r="E9" s="350"/>
      <c r="F9" s="90"/>
      <c r="G9" s="84"/>
      <c r="H9" s="85"/>
      <c r="I9" s="350" t="s">
        <v>157</v>
      </c>
      <c r="J9" s="350"/>
      <c r="K9" s="350"/>
      <c r="L9" s="350"/>
      <c r="M9" s="350"/>
      <c r="N9" s="350"/>
      <c r="O9" s="90"/>
      <c r="P9" s="84"/>
      <c r="Q9" s="85"/>
      <c r="R9" s="348" t="s">
        <v>172</v>
      </c>
      <c r="S9" s="437">
        <f>+N16+N27+N38</f>
        <v>0.66666666666666674</v>
      </c>
      <c r="T9" s="90"/>
      <c r="U9" s="90"/>
    </row>
    <row r="10" spans="1:23" ht="15" customHeight="1">
      <c r="A10" s="84"/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84"/>
      <c r="O10" s="90"/>
      <c r="P10" s="84"/>
      <c r="Q10" s="85"/>
      <c r="R10" s="348"/>
      <c r="S10" s="437"/>
      <c r="T10" s="90"/>
      <c r="U10" s="90"/>
    </row>
    <row r="11" spans="1:23" ht="15" customHeight="1">
      <c r="A11" s="84"/>
      <c r="B11" s="85"/>
      <c r="C11" s="85"/>
      <c r="D11" s="91" t="s">
        <v>57</v>
      </c>
      <c r="E11" s="151">
        <v>43509</v>
      </c>
      <c r="F11" s="90"/>
      <c r="G11" s="84"/>
      <c r="H11" s="85"/>
      <c r="I11" s="351" t="s">
        <v>72</v>
      </c>
      <c r="J11" s="351"/>
      <c r="K11" s="351"/>
      <c r="L11" s="351"/>
      <c r="M11" s="351"/>
      <c r="N11" s="92">
        <v>0.33333333333333337</v>
      </c>
      <c r="O11" s="90"/>
      <c r="P11" s="84"/>
      <c r="Q11" s="85"/>
      <c r="R11" s="348"/>
      <c r="S11" s="437"/>
      <c r="T11" s="90"/>
      <c r="U11" s="90"/>
    </row>
    <row r="12" spans="1:23" ht="15" customHeight="1">
      <c r="A12" s="84"/>
      <c r="B12" s="85"/>
      <c r="C12" s="85"/>
      <c r="D12" s="91" t="s">
        <v>58</v>
      </c>
      <c r="E12" s="151">
        <v>43963</v>
      </c>
      <c r="F12" s="90"/>
      <c r="G12" s="84"/>
      <c r="H12" s="85"/>
      <c r="I12" s="84"/>
      <c r="J12" s="84"/>
      <c r="K12" s="84"/>
      <c r="L12" s="84"/>
      <c r="M12" s="84"/>
      <c r="N12" s="84"/>
      <c r="O12" s="90"/>
      <c r="P12" s="84"/>
      <c r="Q12" s="99"/>
      <c r="R12" s="100"/>
      <c r="S12" s="100"/>
      <c r="T12" s="101"/>
      <c r="U12" s="90"/>
    </row>
    <row r="13" spans="1:23" ht="15" customHeight="1">
      <c r="A13" s="84"/>
      <c r="B13" s="85"/>
      <c r="C13" s="85"/>
      <c r="D13" s="91" t="s">
        <v>59</v>
      </c>
      <c r="E13" s="93">
        <f>E12-E11</f>
        <v>454</v>
      </c>
      <c r="F13" s="90"/>
      <c r="G13" s="84"/>
      <c r="H13" s="85"/>
      <c r="I13" s="354" t="s">
        <v>45</v>
      </c>
      <c r="J13" s="354"/>
      <c r="K13" s="354"/>
      <c r="L13" s="94" t="s">
        <v>94</v>
      </c>
      <c r="M13" s="94" t="s">
        <v>120</v>
      </c>
      <c r="N13" s="117" t="s">
        <v>129</v>
      </c>
      <c r="O13" s="90"/>
      <c r="P13" s="84"/>
      <c r="Q13" s="106"/>
      <c r="R13" s="107"/>
      <c r="S13" s="107"/>
      <c r="T13" s="107"/>
      <c r="U13" s="135"/>
      <c r="V13" s="107"/>
      <c r="W13" s="106"/>
    </row>
    <row r="14" spans="1:23" ht="15" customHeight="1">
      <c r="A14" s="84"/>
      <c r="B14" s="85"/>
      <c r="C14" s="85"/>
      <c r="D14" s="96" t="s">
        <v>21</v>
      </c>
      <c r="E14" s="93">
        <f ca="1">TODAY()-E11</f>
        <v>603</v>
      </c>
      <c r="F14" s="90"/>
      <c r="G14" s="84"/>
      <c r="H14" s="85"/>
      <c r="I14" s="97">
        <v>1</v>
      </c>
      <c r="J14" s="366" t="s">
        <v>51</v>
      </c>
      <c r="K14" s="366"/>
      <c r="L14" s="108">
        <v>6</v>
      </c>
      <c r="M14" s="153">
        <v>6</v>
      </c>
      <c r="N14" s="109">
        <f>M14/L14</f>
        <v>1</v>
      </c>
      <c r="O14" s="90"/>
      <c r="P14" s="84"/>
      <c r="Q14" s="81"/>
      <c r="R14" s="82"/>
      <c r="S14" s="82"/>
      <c r="T14" s="83"/>
      <c r="U14" s="90"/>
    </row>
    <row r="15" spans="1:23" ht="15" customHeight="1">
      <c r="A15" s="84"/>
      <c r="B15" s="85"/>
      <c r="C15" s="85"/>
      <c r="D15" s="84"/>
      <c r="E15" s="84"/>
      <c r="F15" s="90"/>
      <c r="G15" s="84"/>
      <c r="H15" s="85"/>
      <c r="I15" s="84"/>
      <c r="J15" s="84"/>
      <c r="K15" s="84"/>
      <c r="L15" s="88"/>
      <c r="M15" s="88"/>
      <c r="N15" s="88"/>
      <c r="O15" s="90"/>
      <c r="P15" s="84"/>
      <c r="Q15" s="85"/>
      <c r="R15" s="368" t="s">
        <v>90</v>
      </c>
      <c r="S15" s="368"/>
      <c r="T15" s="90"/>
      <c r="U15" s="90"/>
    </row>
    <row r="16" spans="1:23" ht="15" customHeight="1">
      <c r="A16" s="84"/>
      <c r="B16" s="85"/>
      <c r="C16" s="85"/>
      <c r="D16" s="145" t="s">
        <v>56</v>
      </c>
      <c r="E16" s="146">
        <f ca="1">IF((E14/E13)&gt;100%,100%,(E14/E13))</f>
        <v>1</v>
      </c>
      <c r="F16" s="90"/>
      <c r="G16" s="84"/>
      <c r="H16" s="85"/>
      <c r="I16" s="348" t="s">
        <v>149</v>
      </c>
      <c r="J16" s="348"/>
      <c r="K16" s="348"/>
      <c r="L16" s="145">
        <f>L14</f>
        <v>6</v>
      </c>
      <c r="M16" s="149">
        <f>M14</f>
        <v>6</v>
      </c>
      <c r="N16" s="150">
        <f>(M16/L16)*N11</f>
        <v>0.33333333333333337</v>
      </c>
      <c r="O16" s="90"/>
      <c r="P16" s="84"/>
      <c r="Q16" s="85"/>
      <c r="R16" s="368"/>
      <c r="S16" s="368"/>
      <c r="T16" s="90"/>
      <c r="U16" s="90"/>
    </row>
    <row r="17" spans="1:23" ht="15" customHeight="1">
      <c r="A17" s="84"/>
      <c r="B17" s="85"/>
      <c r="C17" s="99"/>
      <c r="D17" s="100"/>
      <c r="E17" s="100"/>
      <c r="F17" s="101"/>
      <c r="G17" s="84"/>
      <c r="H17" s="99"/>
      <c r="I17" s="113"/>
      <c r="J17" s="113"/>
      <c r="K17" s="113"/>
      <c r="L17" s="113"/>
      <c r="M17" s="114"/>
      <c r="N17" s="113"/>
      <c r="O17" s="101"/>
      <c r="P17" s="84"/>
      <c r="Q17" s="136"/>
      <c r="R17" s="137"/>
      <c r="S17" s="137"/>
      <c r="T17" s="138"/>
      <c r="U17" s="139"/>
      <c r="V17" s="112"/>
      <c r="W17" s="106"/>
    </row>
    <row r="18" spans="1:23" ht="15" customHeight="1">
      <c r="A18" s="84"/>
      <c r="B18" s="85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106"/>
      <c r="R18" s="106"/>
      <c r="S18" s="106"/>
      <c r="T18" s="106"/>
      <c r="U18" s="140"/>
      <c r="V18" s="106"/>
      <c r="W18" s="106"/>
    </row>
    <row r="19" spans="1:23" ht="15" customHeight="1">
      <c r="A19" s="84"/>
      <c r="B19" s="85"/>
      <c r="C19" s="81"/>
      <c r="D19" s="82"/>
      <c r="E19" s="82"/>
      <c r="F19" s="83"/>
      <c r="G19" s="84"/>
      <c r="H19" s="81"/>
      <c r="I19" s="82"/>
      <c r="J19" s="82"/>
      <c r="K19" s="82"/>
      <c r="L19" s="82"/>
      <c r="M19" s="82"/>
      <c r="N19" s="82"/>
      <c r="O19" s="83"/>
      <c r="P19" s="84"/>
      <c r="Q19" s="84"/>
      <c r="R19" s="84"/>
      <c r="S19" s="84"/>
      <c r="T19" s="84"/>
      <c r="U19" s="90"/>
      <c r="W19" s="84"/>
    </row>
    <row r="20" spans="1:23" ht="15" customHeight="1">
      <c r="A20" s="84"/>
      <c r="B20" s="85"/>
      <c r="C20" s="85"/>
      <c r="D20" s="350" t="s">
        <v>60</v>
      </c>
      <c r="E20" s="350"/>
      <c r="F20" s="90"/>
      <c r="G20" s="84"/>
      <c r="H20" s="85"/>
      <c r="I20" s="350" t="s">
        <v>170</v>
      </c>
      <c r="J20" s="350"/>
      <c r="K20" s="350"/>
      <c r="L20" s="350"/>
      <c r="M20" s="350"/>
      <c r="N20" s="350"/>
      <c r="O20" s="90"/>
      <c r="P20" s="84"/>
      <c r="Q20" s="84"/>
      <c r="R20" s="84"/>
      <c r="S20" s="84"/>
      <c r="T20" s="84"/>
      <c r="U20" s="90"/>
      <c r="W20" s="84"/>
    </row>
    <row r="21" spans="1:23" ht="15" customHeight="1">
      <c r="A21" s="84"/>
      <c r="B21" s="85"/>
      <c r="C21" s="85"/>
      <c r="D21" s="84"/>
      <c r="E21" s="84"/>
      <c r="F21" s="90"/>
      <c r="G21" s="84"/>
      <c r="H21" s="85"/>
      <c r="I21" s="84"/>
      <c r="J21" s="84"/>
      <c r="K21" s="84"/>
      <c r="L21" s="84"/>
      <c r="M21" s="84"/>
      <c r="N21" s="84"/>
      <c r="O21" s="90"/>
      <c r="P21" s="84"/>
      <c r="Q21" s="106"/>
      <c r="R21" s="84"/>
      <c r="S21" s="84"/>
      <c r="T21" s="84"/>
      <c r="U21" s="90"/>
      <c r="W21" s="84"/>
    </row>
    <row r="22" spans="1:23" ht="15" customHeight="1">
      <c r="A22" s="84"/>
      <c r="B22" s="85"/>
      <c r="C22" s="85"/>
      <c r="D22" s="97" t="s">
        <v>69</v>
      </c>
      <c r="E22" s="102">
        <f>355657890+134603400+(10*1700000)</f>
        <v>507261290</v>
      </c>
      <c r="F22" s="90"/>
      <c r="G22" s="84"/>
      <c r="H22" s="85"/>
      <c r="I22" s="351" t="s">
        <v>72</v>
      </c>
      <c r="J22" s="351"/>
      <c r="K22" s="351"/>
      <c r="L22" s="351"/>
      <c r="M22" s="351"/>
      <c r="N22" s="92">
        <v>0.33333333333333337</v>
      </c>
      <c r="O22" s="90"/>
      <c r="P22" s="84"/>
      <c r="Q22" s="106"/>
      <c r="R22" s="106"/>
      <c r="S22" s="106"/>
      <c r="T22" s="106"/>
      <c r="U22" s="140"/>
      <c r="V22" s="106"/>
      <c r="W22" s="106"/>
    </row>
    <row r="23" spans="1:23" ht="15" customHeight="1">
      <c r="A23" s="84"/>
      <c r="B23" s="85"/>
      <c r="C23" s="85"/>
      <c r="D23" s="84"/>
      <c r="E23" s="84"/>
      <c r="F23" s="90"/>
      <c r="G23" s="84"/>
      <c r="H23" s="85"/>
      <c r="I23" s="84"/>
      <c r="J23" s="84"/>
      <c r="K23" s="84"/>
      <c r="L23" s="84"/>
      <c r="M23" s="84"/>
      <c r="N23" s="84"/>
      <c r="O23" s="90"/>
      <c r="P23" s="84"/>
      <c r="Q23" s="106"/>
      <c r="R23" s="115"/>
      <c r="S23" s="115"/>
      <c r="T23" s="115"/>
      <c r="U23" s="141"/>
      <c r="V23" s="116"/>
      <c r="W23" s="106"/>
    </row>
    <row r="24" spans="1:23" ht="15" customHeight="1">
      <c r="A24" s="84"/>
      <c r="B24" s="85"/>
      <c r="C24" s="85"/>
      <c r="D24" s="97" t="s">
        <v>158</v>
      </c>
      <c r="E24" s="152">
        <v>134603400</v>
      </c>
      <c r="F24" s="90"/>
      <c r="G24" s="84"/>
      <c r="H24" s="85"/>
      <c r="I24" s="354" t="s">
        <v>45</v>
      </c>
      <c r="J24" s="354"/>
      <c r="K24" s="354"/>
      <c r="L24" s="94" t="s">
        <v>94</v>
      </c>
      <c r="M24" s="94" t="s">
        <v>120</v>
      </c>
      <c r="N24" s="117" t="s">
        <v>129</v>
      </c>
      <c r="O24" s="90"/>
      <c r="P24" s="84"/>
      <c r="Q24" s="106"/>
      <c r="R24" s="115"/>
      <c r="S24" s="115"/>
      <c r="T24" s="115"/>
      <c r="U24" s="141"/>
      <c r="V24" s="116"/>
      <c r="W24" s="106"/>
    </row>
    <row r="25" spans="1:23" ht="15" customHeight="1">
      <c r="A25" s="84"/>
      <c r="B25" s="85"/>
      <c r="C25" s="85"/>
      <c r="D25" s="97" t="s">
        <v>159</v>
      </c>
      <c r="E25" s="152"/>
      <c r="F25" s="90"/>
      <c r="G25" s="84"/>
      <c r="H25" s="85"/>
      <c r="I25" s="97">
        <v>1</v>
      </c>
      <c r="J25" s="366" t="s">
        <v>135</v>
      </c>
      <c r="K25" s="366"/>
      <c r="L25" s="108">
        <v>3</v>
      </c>
      <c r="M25" s="153">
        <v>0</v>
      </c>
      <c r="N25" s="109">
        <f>M25/L25</f>
        <v>0</v>
      </c>
      <c r="O25" s="90"/>
      <c r="P25" s="84"/>
      <c r="Q25" s="106"/>
      <c r="R25" s="115"/>
      <c r="S25" s="115"/>
      <c r="T25" s="115"/>
      <c r="U25" s="141"/>
      <c r="V25" s="116"/>
      <c r="W25" s="106"/>
    </row>
    <row r="26" spans="1:23" ht="15" customHeight="1">
      <c r="A26" s="84"/>
      <c r="B26" s="85"/>
      <c r="C26" s="85"/>
      <c r="D26" s="97" t="s">
        <v>160</v>
      </c>
      <c r="E26" s="152">
        <f>1700000*10</f>
        <v>17000000</v>
      </c>
      <c r="F26" s="90"/>
      <c r="G26" s="84"/>
      <c r="H26" s="85"/>
      <c r="I26" s="84"/>
      <c r="J26" s="84"/>
      <c r="K26" s="84"/>
      <c r="L26" s="88"/>
      <c r="M26" s="88"/>
      <c r="N26" s="88"/>
      <c r="O26" s="90"/>
      <c r="P26" s="84"/>
      <c r="Q26" s="84"/>
      <c r="R26" s="106"/>
      <c r="S26" s="106"/>
      <c r="T26" s="106"/>
      <c r="U26" s="140"/>
      <c r="V26" s="106"/>
      <c r="W26" s="106"/>
    </row>
    <row r="27" spans="1:23" ht="15" customHeight="1">
      <c r="A27" s="84"/>
      <c r="B27" s="85"/>
      <c r="C27" s="85"/>
      <c r="D27" s="97" t="s">
        <v>161</v>
      </c>
      <c r="E27" s="152">
        <f t="shared" ref="E27:E35" si="0">1700000*10</f>
        <v>17000000</v>
      </c>
      <c r="F27" s="90"/>
      <c r="G27" s="84"/>
      <c r="H27" s="85"/>
      <c r="I27" s="348" t="s">
        <v>149</v>
      </c>
      <c r="J27" s="348"/>
      <c r="K27" s="348"/>
      <c r="L27" s="145">
        <f>L25</f>
        <v>3</v>
      </c>
      <c r="M27" s="149">
        <f>M25</f>
        <v>0</v>
      </c>
      <c r="N27" s="150">
        <f>(M27/L27)*N22</f>
        <v>0</v>
      </c>
      <c r="O27" s="90"/>
      <c r="P27" s="84"/>
      <c r="Q27" s="84"/>
      <c r="R27" s="217"/>
      <c r="S27" s="84"/>
      <c r="T27" s="84"/>
      <c r="U27" s="90"/>
      <c r="V27" s="84"/>
      <c r="W27" s="84"/>
    </row>
    <row r="28" spans="1:23" ht="15" customHeight="1">
      <c r="A28" s="84"/>
      <c r="B28" s="85"/>
      <c r="C28" s="85"/>
      <c r="D28" s="97" t="s">
        <v>162</v>
      </c>
      <c r="E28" s="152">
        <f t="shared" si="0"/>
        <v>17000000</v>
      </c>
      <c r="F28" s="90"/>
      <c r="G28" s="84"/>
      <c r="H28" s="99"/>
      <c r="I28" s="113"/>
      <c r="J28" s="113"/>
      <c r="K28" s="113"/>
      <c r="L28" s="113"/>
      <c r="M28" s="114"/>
      <c r="N28" s="113"/>
      <c r="O28" s="101"/>
      <c r="P28" s="84"/>
      <c r="Q28" s="84"/>
      <c r="R28" s="84"/>
      <c r="S28" s="84"/>
      <c r="T28" s="84"/>
      <c r="U28" s="90"/>
      <c r="V28" s="84"/>
      <c r="W28" s="84"/>
    </row>
    <row r="29" spans="1:23" ht="15" customHeight="1">
      <c r="A29" s="84"/>
      <c r="B29" s="85"/>
      <c r="C29" s="85"/>
      <c r="D29" s="97" t="s">
        <v>163</v>
      </c>
      <c r="E29" s="152">
        <f t="shared" si="0"/>
        <v>17000000</v>
      </c>
      <c r="F29" s="90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90"/>
      <c r="V29" s="84"/>
      <c r="W29" s="84"/>
    </row>
    <row r="30" spans="1:23" ht="15" customHeight="1">
      <c r="A30" s="84"/>
      <c r="B30" s="85"/>
      <c r="C30" s="85"/>
      <c r="D30" s="97" t="s">
        <v>164</v>
      </c>
      <c r="E30" s="152">
        <f t="shared" si="0"/>
        <v>17000000</v>
      </c>
      <c r="F30" s="90"/>
      <c r="G30" s="84"/>
      <c r="H30" s="81"/>
      <c r="I30" s="82"/>
      <c r="J30" s="82"/>
      <c r="K30" s="82"/>
      <c r="L30" s="82"/>
      <c r="M30" s="82"/>
      <c r="N30" s="82"/>
      <c r="O30" s="83"/>
      <c r="P30" s="84"/>
      <c r="Q30" s="84"/>
      <c r="R30" s="84"/>
      <c r="S30" s="84"/>
      <c r="T30" s="84"/>
      <c r="U30" s="90"/>
      <c r="V30" s="84"/>
      <c r="W30" s="84"/>
    </row>
    <row r="31" spans="1:23" ht="15" customHeight="1">
      <c r="A31" s="84"/>
      <c r="B31" s="85"/>
      <c r="C31" s="85"/>
      <c r="D31" s="97" t="s">
        <v>165</v>
      </c>
      <c r="E31" s="152">
        <f t="shared" si="0"/>
        <v>17000000</v>
      </c>
      <c r="F31" s="90"/>
      <c r="G31" s="84"/>
      <c r="H31" s="85"/>
      <c r="I31" s="350" t="s">
        <v>174</v>
      </c>
      <c r="J31" s="350"/>
      <c r="K31" s="350"/>
      <c r="L31" s="350"/>
      <c r="M31" s="350"/>
      <c r="N31" s="350"/>
      <c r="O31" s="90"/>
      <c r="P31" s="84"/>
      <c r="Q31" s="84"/>
      <c r="R31" s="84"/>
      <c r="S31" s="84"/>
      <c r="T31" s="84"/>
      <c r="U31" s="90"/>
      <c r="V31" s="84"/>
      <c r="W31" s="84"/>
    </row>
    <row r="32" spans="1:23" ht="15" customHeight="1">
      <c r="A32" s="84"/>
      <c r="B32" s="85"/>
      <c r="C32" s="85"/>
      <c r="D32" s="97" t="s">
        <v>166</v>
      </c>
      <c r="E32" s="152">
        <f t="shared" si="0"/>
        <v>17000000</v>
      </c>
      <c r="F32" s="90"/>
      <c r="G32" s="84"/>
      <c r="H32" s="85"/>
      <c r="I32" s="84"/>
      <c r="J32" s="84"/>
      <c r="K32" s="84"/>
      <c r="L32" s="84"/>
      <c r="M32" s="84"/>
      <c r="N32" s="84"/>
      <c r="O32" s="90"/>
      <c r="P32" s="84"/>
      <c r="Q32" s="84"/>
      <c r="R32" s="84"/>
      <c r="S32" s="84"/>
      <c r="T32" s="84"/>
      <c r="U32" s="90"/>
      <c r="V32" s="84"/>
      <c r="W32" s="84"/>
    </row>
    <row r="33" spans="1:23" ht="15" customHeight="1">
      <c r="A33" s="84"/>
      <c r="B33" s="85"/>
      <c r="C33" s="85"/>
      <c r="D33" s="97" t="s">
        <v>167</v>
      </c>
      <c r="E33" s="152">
        <f t="shared" si="0"/>
        <v>17000000</v>
      </c>
      <c r="F33" s="90"/>
      <c r="G33" s="84"/>
      <c r="H33" s="85"/>
      <c r="I33" s="351" t="s">
        <v>72</v>
      </c>
      <c r="J33" s="351"/>
      <c r="K33" s="351"/>
      <c r="L33" s="351"/>
      <c r="M33" s="351"/>
      <c r="N33" s="92">
        <v>0.33333333333333337</v>
      </c>
      <c r="O33" s="90"/>
      <c r="P33" s="84"/>
      <c r="Q33" s="84"/>
      <c r="R33" s="84"/>
      <c r="S33" s="84"/>
      <c r="T33" s="84"/>
      <c r="U33" s="90"/>
      <c r="V33" s="84"/>
      <c r="W33" s="84"/>
    </row>
    <row r="34" spans="1:23" ht="15" customHeight="1">
      <c r="A34" s="84"/>
      <c r="B34" s="85"/>
      <c r="C34" s="85"/>
      <c r="D34" s="97" t="s">
        <v>168</v>
      </c>
      <c r="E34" s="152">
        <f t="shared" si="0"/>
        <v>17000000</v>
      </c>
      <c r="F34" s="90"/>
      <c r="G34" s="84"/>
      <c r="H34" s="85"/>
      <c r="I34" s="84"/>
      <c r="J34" s="84"/>
      <c r="K34" s="84"/>
      <c r="L34" s="84"/>
      <c r="M34" s="84"/>
      <c r="N34" s="84"/>
      <c r="O34" s="90"/>
      <c r="P34" s="84"/>
      <c r="Q34" s="84"/>
      <c r="R34" s="84"/>
      <c r="S34" s="84"/>
      <c r="T34" s="84"/>
      <c r="U34" s="90"/>
      <c r="V34" s="84"/>
      <c r="W34" s="84"/>
    </row>
    <row r="35" spans="1:23" ht="15" customHeight="1">
      <c r="A35" s="84"/>
      <c r="B35" s="85"/>
      <c r="C35" s="85"/>
      <c r="D35" s="97" t="s">
        <v>169</v>
      </c>
      <c r="E35" s="152">
        <f t="shared" si="0"/>
        <v>17000000</v>
      </c>
      <c r="F35" s="90"/>
      <c r="G35" s="84"/>
      <c r="H35" s="85"/>
      <c r="I35" s="354" t="s">
        <v>45</v>
      </c>
      <c r="J35" s="354"/>
      <c r="K35" s="354"/>
      <c r="L35" s="94" t="s">
        <v>94</v>
      </c>
      <c r="M35" s="94" t="s">
        <v>120</v>
      </c>
      <c r="N35" s="117" t="s">
        <v>129</v>
      </c>
      <c r="O35" s="90"/>
      <c r="P35" s="84"/>
      <c r="Q35" s="84"/>
      <c r="R35" s="84"/>
      <c r="S35" s="84"/>
      <c r="T35" s="84"/>
      <c r="U35" s="90"/>
      <c r="V35" s="84"/>
      <c r="W35" s="84"/>
    </row>
    <row r="36" spans="1:23" ht="15" customHeight="1">
      <c r="A36" s="84"/>
      <c r="B36" s="85"/>
      <c r="C36" s="85"/>
      <c r="D36" s="84"/>
      <c r="E36" s="84"/>
      <c r="F36" s="90"/>
      <c r="G36" s="84"/>
      <c r="H36" s="85"/>
      <c r="I36" s="97">
        <v>1</v>
      </c>
      <c r="J36" s="366" t="s">
        <v>171</v>
      </c>
      <c r="K36" s="366"/>
      <c r="L36" s="108">
        <v>10</v>
      </c>
      <c r="M36" s="153">
        <v>10</v>
      </c>
      <c r="N36" s="109">
        <f>M36/L36</f>
        <v>1</v>
      </c>
      <c r="O36" s="90"/>
      <c r="P36" s="84"/>
      <c r="Q36" s="84"/>
      <c r="R36" s="84"/>
      <c r="S36" s="84"/>
      <c r="T36" s="84"/>
      <c r="U36" s="90"/>
      <c r="V36" s="84"/>
      <c r="W36" s="84"/>
    </row>
    <row r="37" spans="1:23" ht="14.25" customHeight="1">
      <c r="A37" s="84"/>
      <c r="B37" s="85"/>
      <c r="C37" s="85"/>
      <c r="D37" s="103" t="s">
        <v>70</v>
      </c>
      <c r="E37" s="104">
        <f>SUM(E24:E35)</f>
        <v>304603400</v>
      </c>
      <c r="F37" s="90"/>
      <c r="G37" s="84"/>
      <c r="H37" s="85"/>
      <c r="I37" s="84"/>
      <c r="J37" s="84"/>
      <c r="K37" s="84"/>
      <c r="L37" s="88"/>
      <c r="M37" s="88"/>
      <c r="N37" s="88"/>
      <c r="O37" s="90"/>
      <c r="P37" s="84"/>
      <c r="Q37" s="84"/>
      <c r="R37" s="84"/>
      <c r="S37" s="84"/>
      <c r="T37" s="84"/>
      <c r="U37" s="90"/>
    </row>
    <row r="38" spans="1:23" ht="15" customHeight="1">
      <c r="A38" s="84"/>
      <c r="B38" s="85"/>
      <c r="C38" s="85"/>
      <c r="D38" s="84"/>
      <c r="E38" s="84"/>
      <c r="F38" s="90"/>
      <c r="G38" s="84"/>
      <c r="H38" s="85"/>
      <c r="I38" s="348" t="s">
        <v>149</v>
      </c>
      <c r="J38" s="348"/>
      <c r="K38" s="348"/>
      <c r="L38" s="145">
        <f>L36</f>
        <v>10</v>
      </c>
      <c r="M38" s="149">
        <f>M36</f>
        <v>10</v>
      </c>
      <c r="N38" s="150">
        <f>(M38/L38)*N33</f>
        <v>0.33333333333333337</v>
      </c>
      <c r="O38" s="90"/>
      <c r="P38" s="84"/>
      <c r="Q38" s="84"/>
      <c r="R38" s="84"/>
      <c r="S38" s="84"/>
      <c r="T38" s="84"/>
      <c r="U38" s="90"/>
    </row>
    <row r="39" spans="1:23" ht="15" customHeight="1">
      <c r="A39" s="84"/>
      <c r="B39" s="85"/>
      <c r="C39" s="85"/>
      <c r="D39" s="145" t="s">
        <v>60</v>
      </c>
      <c r="E39" s="147">
        <f>E37/E22</f>
        <v>0.60048619124869551</v>
      </c>
      <c r="F39" s="90"/>
      <c r="G39" s="84"/>
      <c r="H39" s="99"/>
      <c r="I39" s="113"/>
      <c r="J39" s="113"/>
      <c r="K39" s="113"/>
      <c r="L39" s="113"/>
      <c r="M39" s="114"/>
      <c r="N39" s="113"/>
      <c r="O39" s="101"/>
      <c r="P39" s="84"/>
      <c r="Q39" s="84"/>
      <c r="R39" s="84"/>
      <c r="S39" s="84"/>
      <c r="T39" s="84"/>
      <c r="U39" s="90"/>
    </row>
    <row r="40" spans="1:23" ht="15" customHeight="1">
      <c r="A40" s="84"/>
      <c r="B40" s="85"/>
      <c r="C40" s="99"/>
      <c r="D40" s="100"/>
      <c r="E40" s="100"/>
      <c r="F40" s="101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0"/>
    </row>
    <row r="41" spans="1:23" ht="15" customHeight="1">
      <c r="A41" s="84"/>
      <c r="B41" s="85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90"/>
    </row>
    <row r="42" spans="1:23" ht="15" customHeight="1">
      <c r="A42" s="84"/>
      <c r="B42" s="85"/>
      <c r="C42" s="84"/>
      <c r="D42" s="354" t="s">
        <v>222</v>
      </c>
      <c r="E42" s="354"/>
      <c r="F42" s="354"/>
      <c r="G42" s="354"/>
      <c r="H42" s="354" t="s">
        <v>221</v>
      </c>
      <c r="I42" s="354"/>
      <c r="J42" s="354"/>
      <c r="K42" s="226" t="s">
        <v>223</v>
      </c>
      <c r="L42" s="226" t="s">
        <v>224</v>
      </c>
      <c r="M42" s="229" t="s">
        <v>225</v>
      </c>
      <c r="N42" s="410" t="s">
        <v>226</v>
      </c>
      <c r="O42" s="410"/>
      <c r="P42" s="410"/>
      <c r="Q42" s="84"/>
      <c r="R42" s="84"/>
      <c r="S42" s="84"/>
      <c r="T42" s="84"/>
      <c r="U42" s="90"/>
    </row>
    <row r="43" spans="1:23" ht="42" customHeight="1">
      <c r="A43" s="84"/>
      <c r="B43" s="85"/>
      <c r="C43" s="84"/>
      <c r="D43" s="346" t="s">
        <v>246</v>
      </c>
      <c r="E43" s="346"/>
      <c r="F43" s="346"/>
      <c r="G43" s="346"/>
      <c r="H43" s="376" t="s">
        <v>248</v>
      </c>
      <c r="I43" s="377"/>
      <c r="J43" s="378"/>
      <c r="K43" s="189">
        <v>3</v>
      </c>
      <c r="L43" s="189">
        <v>2.5</v>
      </c>
      <c r="M43" s="231">
        <v>1</v>
      </c>
      <c r="N43" s="395">
        <v>0.83299999999999996</v>
      </c>
      <c r="O43" s="395"/>
      <c r="P43" s="395"/>
      <c r="Q43" s="84"/>
      <c r="R43" s="84"/>
      <c r="S43" s="84"/>
      <c r="T43" s="84"/>
      <c r="U43" s="90"/>
    </row>
    <row r="44" spans="1:23" ht="36.950000000000003" customHeight="1">
      <c r="A44" s="84"/>
      <c r="B44" s="85"/>
      <c r="C44" s="84"/>
      <c r="D44" s="346" t="s">
        <v>247</v>
      </c>
      <c r="E44" s="346"/>
      <c r="F44" s="346"/>
      <c r="G44" s="346"/>
      <c r="H44" s="381"/>
      <c r="I44" s="382"/>
      <c r="J44" s="383"/>
      <c r="K44" s="225">
        <v>750</v>
      </c>
      <c r="L44" s="237">
        <v>948</v>
      </c>
      <c r="M44" s="231">
        <v>0.93799999999999994</v>
      </c>
      <c r="N44" s="395">
        <v>1.1850000000000001</v>
      </c>
      <c r="O44" s="395"/>
      <c r="P44" s="395"/>
      <c r="Q44" s="84"/>
      <c r="R44" s="84"/>
      <c r="S44" s="84"/>
      <c r="T44" s="84"/>
      <c r="U44" s="90"/>
    </row>
    <row r="45" spans="1:23" ht="15" customHeight="1">
      <c r="A45" s="84"/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1"/>
    </row>
    <row r="46" spans="1:23" ht="15" customHeight="1">
      <c r="A46" s="84"/>
      <c r="B46" s="84"/>
      <c r="C46" s="84"/>
      <c r="D46" s="84"/>
      <c r="E46" s="84"/>
      <c r="F46" s="84"/>
      <c r="G46" s="84"/>
      <c r="P46" s="84"/>
    </row>
    <row r="47" spans="1:23">
      <c r="M47" s="164"/>
      <c r="N47" s="445"/>
      <c r="O47" s="445"/>
      <c r="P47" s="445"/>
    </row>
  </sheetData>
  <sheetProtection algorithmName="SHA-512" hashValue="S9t+ALsbiXYnmviBNBZ04RquUIW187DXgXEPJy1wdCncOwJorIRuo2e+AzroOmcf2lPSG+czq3stvOmhpR6s9g==" saltValue="Tp14WuLMt/+WTsQ3T7b61A==" spinCount="100000" sheet="1" objects="1" scenarios="1"/>
  <mergeCells count="31">
    <mergeCell ref="N42:P42"/>
    <mergeCell ref="H43:J44"/>
    <mergeCell ref="N43:P43"/>
    <mergeCell ref="D44:G44"/>
    <mergeCell ref="N44:P44"/>
    <mergeCell ref="D20:E20"/>
    <mergeCell ref="I20:N20"/>
    <mergeCell ref="I22:M22"/>
    <mergeCell ref="I24:K24"/>
    <mergeCell ref="J25:K25"/>
    <mergeCell ref="D9:E9"/>
    <mergeCell ref="I9:N9"/>
    <mergeCell ref="I11:M11"/>
    <mergeCell ref="C3:F6"/>
    <mergeCell ref="J14:K14"/>
    <mergeCell ref="N47:P47"/>
    <mergeCell ref="I38:K38"/>
    <mergeCell ref="G3:T6"/>
    <mergeCell ref="R9:R11"/>
    <mergeCell ref="S9:S11"/>
    <mergeCell ref="R15:S16"/>
    <mergeCell ref="I13:K13"/>
    <mergeCell ref="I16:K16"/>
    <mergeCell ref="I27:K27"/>
    <mergeCell ref="I31:N31"/>
    <mergeCell ref="I33:M33"/>
    <mergeCell ref="I35:K35"/>
    <mergeCell ref="J36:K36"/>
    <mergeCell ref="D42:G42"/>
    <mergeCell ref="H42:J42"/>
    <mergeCell ref="D43:G43"/>
  </mergeCells>
  <hyperlinks>
    <hyperlink ref="R15:S16" location="'PROYECTOS DASHBOARD'!R15" display="CLICK - GRAFICA DASHBOARD " xr:uid="{00000000-0004-0000-0E00-000000000000}"/>
  </hyperlink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56"/>
  <sheetViews>
    <sheetView showGridLines="0" zoomScale="85" zoomScaleNormal="85" workbookViewId="0">
      <pane ySplit="6" topLeftCell="A7" activePane="bottomLeft" state="frozen"/>
      <selection pane="bottomLeft" activeCell="E14" sqref="E14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8" width="2.85546875" style="80" customWidth="1"/>
    <col min="9" max="9" width="10.85546875" style="80"/>
    <col min="10" max="10" width="16.7109375" style="80" customWidth="1"/>
    <col min="11" max="11" width="22.42578125" style="80" customWidth="1"/>
    <col min="12" max="14" width="22.7109375" style="80" customWidth="1"/>
    <col min="15" max="15" width="2.85546875" style="80" customWidth="1"/>
    <col min="16" max="16" width="10.7109375" style="80" customWidth="1"/>
    <col min="17" max="17" width="2.85546875" style="80" customWidth="1"/>
    <col min="18" max="18" width="37.7109375" style="80" customWidth="1"/>
    <col min="19" max="19" width="12.85546875" style="80" customWidth="1"/>
    <col min="20" max="20" width="3.42578125" style="80" customWidth="1"/>
    <col min="21" max="21" width="2.85546875" style="80" customWidth="1"/>
    <col min="22" max="22" width="17" style="80" customWidth="1"/>
    <col min="23" max="23" width="3.42578125" style="80" customWidth="1"/>
    <col min="24" max="16384" width="10.85546875" style="80"/>
  </cols>
  <sheetData>
    <row r="1" spans="1:23" ht="1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23" ht="15" customHeight="1">
      <c r="A2" s="84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4"/>
      <c r="W2" s="84"/>
    </row>
    <row r="3" spans="1:23" ht="15" customHeight="1">
      <c r="A3" s="84"/>
      <c r="B3" s="85"/>
      <c r="C3" s="343"/>
      <c r="D3" s="343"/>
      <c r="E3" s="343"/>
      <c r="F3" s="343"/>
      <c r="G3" s="436" t="s">
        <v>350</v>
      </c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86"/>
      <c r="V3" s="87"/>
      <c r="W3" s="84"/>
    </row>
    <row r="4" spans="1:23" ht="15" customHeight="1">
      <c r="A4" s="84"/>
      <c r="B4" s="85"/>
      <c r="C4" s="343"/>
      <c r="D4" s="343"/>
      <c r="E4" s="343"/>
      <c r="F4" s="343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86"/>
      <c r="V4" s="87"/>
      <c r="W4" s="84"/>
    </row>
    <row r="5" spans="1:23" ht="15" customHeight="1">
      <c r="A5" s="84"/>
      <c r="B5" s="85"/>
      <c r="C5" s="343"/>
      <c r="D5" s="343"/>
      <c r="E5" s="343"/>
      <c r="F5" s="343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86"/>
      <c r="V5" s="87"/>
      <c r="W5" s="84"/>
    </row>
    <row r="6" spans="1:23" ht="15" customHeight="1">
      <c r="A6" s="84"/>
      <c r="B6" s="85"/>
      <c r="C6" s="343"/>
      <c r="D6" s="343"/>
      <c r="E6" s="343"/>
      <c r="F6" s="343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86"/>
      <c r="V6" s="87"/>
      <c r="W6" s="84"/>
    </row>
    <row r="7" spans="1:23" ht="15" customHeight="1">
      <c r="A7" s="84"/>
      <c r="B7" s="85"/>
      <c r="C7" s="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5"/>
      <c r="V7" s="173"/>
      <c r="W7" s="84"/>
    </row>
    <row r="8" spans="1:23" ht="15" customHeight="1">
      <c r="A8" s="84"/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2"/>
      <c r="O8" s="83"/>
      <c r="P8" s="84"/>
      <c r="Q8" s="81"/>
      <c r="R8" s="82"/>
      <c r="S8" s="82"/>
      <c r="T8" s="83"/>
      <c r="U8" s="90"/>
    </row>
    <row r="9" spans="1:23" ht="15" customHeight="1">
      <c r="A9" s="84"/>
      <c r="B9" s="85"/>
      <c r="C9" s="85"/>
      <c r="D9" s="350" t="s">
        <v>56</v>
      </c>
      <c r="E9" s="350"/>
      <c r="F9" s="90"/>
      <c r="G9" s="84"/>
      <c r="H9" s="85"/>
      <c r="I9" s="356" t="s">
        <v>198</v>
      </c>
      <c r="J9" s="356"/>
      <c r="K9" s="356"/>
      <c r="L9" s="356"/>
      <c r="M9" s="356"/>
      <c r="N9" s="356"/>
      <c r="O9" s="90"/>
      <c r="P9" s="84"/>
      <c r="Q9" s="85"/>
      <c r="R9" s="193"/>
      <c r="S9" s="194"/>
      <c r="T9" s="90"/>
      <c r="U9" s="90"/>
    </row>
    <row r="10" spans="1:23" ht="15" customHeight="1">
      <c r="A10" s="84"/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84"/>
      <c r="O10" s="90"/>
      <c r="P10" s="84"/>
      <c r="Q10" s="85"/>
      <c r="R10" s="193" t="s">
        <v>172</v>
      </c>
      <c r="S10" s="194">
        <f>+N21+N32+N48</f>
        <v>0.33333333333333337</v>
      </c>
      <c r="T10" s="90"/>
      <c r="U10" s="90"/>
    </row>
    <row r="11" spans="1:23" ht="15" customHeight="1">
      <c r="A11" s="84"/>
      <c r="B11" s="85"/>
      <c r="C11" s="85"/>
      <c r="D11" s="210" t="s">
        <v>57</v>
      </c>
      <c r="E11" s="151">
        <v>43788</v>
      </c>
      <c r="F11" s="90"/>
      <c r="G11" s="84"/>
      <c r="H11" s="85"/>
      <c r="I11" s="351" t="s">
        <v>72</v>
      </c>
      <c r="J11" s="351"/>
      <c r="K11" s="351"/>
      <c r="L11" s="351"/>
      <c r="M11" s="351"/>
      <c r="N11" s="92">
        <v>0.33333333333333298</v>
      </c>
      <c r="O11" s="90"/>
      <c r="P11" s="84"/>
      <c r="Q11" s="85"/>
      <c r="R11" s="193"/>
      <c r="S11" s="194"/>
      <c r="T11" s="90"/>
      <c r="U11" s="90"/>
    </row>
    <row r="12" spans="1:23" ht="15" customHeight="1">
      <c r="A12" s="84"/>
      <c r="B12" s="85"/>
      <c r="C12" s="85"/>
      <c r="D12" s="210" t="s">
        <v>58</v>
      </c>
      <c r="E12" s="151">
        <v>44149</v>
      </c>
      <c r="F12" s="90"/>
      <c r="G12" s="84"/>
      <c r="H12" s="85"/>
      <c r="I12" s="84"/>
      <c r="J12" s="84"/>
      <c r="K12" s="84"/>
      <c r="L12" s="84"/>
      <c r="M12" s="84"/>
      <c r="N12" s="84"/>
      <c r="O12" s="90"/>
      <c r="P12" s="84"/>
      <c r="Q12" s="99"/>
      <c r="R12" s="100"/>
      <c r="S12" s="100"/>
      <c r="T12" s="101"/>
      <c r="U12" s="90"/>
    </row>
    <row r="13" spans="1:23" ht="15" customHeight="1">
      <c r="A13" s="84"/>
      <c r="B13" s="85"/>
      <c r="C13" s="85"/>
      <c r="D13" s="210" t="s">
        <v>211</v>
      </c>
      <c r="E13" s="151">
        <v>43909</v>
      </c>
      <c r="F13" s="90"/>
      <c r="G13" s="84"/>
      <c r="H13" s="85"/>
      <c r="I13" s="354" t="s">
        <v>45</v>
      </c>
      <c r="J13" s="354"/>
      <c r="K13" s="354"/>
      <c r="L13" s="188" t="s">
        <v>94</v>
      </c>
      <c r="M13" s="188" t="s">
        <v>120</v>
      </c>
      <c r="N13" s="180" t="s">
        <v>129</v>
      </c>
      <c r="O13" s="90"/>
      <c r="P13" s="84"/>
      <c r="Q13" s="106"/>
      <c r="R13" s="177"/>
      <c r="S13" s="177"/>
      <c r="T13" s="177"/>
      <c r="U13" s="135"/>
      <c r="V13" s="107"/>
      <c r="W13" s="106"/>
    </row>
    <row r="14" spans="1:23" ht="15" customHeight="1">
      <c r="A14" s="84"/>
      <c r="B14" s="85"/>
      <c r="C14" s="85"/>
      <c r="D14" s="210" t="s">
        <v>212</v>
      </c>
      <c r="E14" s="151">
        <v>44088</v>
      </c>
      <c r="F14" s="90"/>
      <c r="G14" s="84"/>
      <c r="H14" s="85"/>
      <c r="I14" s="179">
        <v>1</v>
      </c>
      <c r="J14" s="366" t="s">
        <v>199</v>
      </c>
      <c r="K14" s="366"/>
      <c r="L14" s="181">
        <v>1</v>
      </c>
      <c r="M14" s="182">
        <v>0</v>
      </c>
      <c r="N14" s="183">
        <f t="shared" ref="N14:N19" si="0">M14/L14</f>
        <v>0</v>
      </c>
      <c r="O14" s="90"/>
      <c r="P14" s="84"/>
      <c r="Q14" s="106"/>
      <c r="R14" s="177"/>
      <c r="S14" s="177"/>
      <c r="T14" s="177"/>
      <c r="U14" s="135"/>
      <c r="V14" s="177"/>
      <c r="W14" s="106"/>
    </row>
    <row r="15" spans="1:23" ht="15" customHeight="1">
      <c r="A15" s="84"/>
      <c r="B15" s="85"/>
      <c r="C15" s="85"/>
      <c r="D15" s="210" t="s">
        <v>59</v>
      </c>
      <c r="E15" s="93">
        <f>IFERROR(E12-E11,"")</f>
        <v>361</v>
      </c>
      <c r="F15" s="90"/>
      <c r="G15" s="84"/>
      <c r="H15" s="85"/>
      <c r="I15" s="179">
        <v>2</v>
      </c>
      <c r="J15" s="366" t="s">
        <v>200</v>
      </c>
      <c r="K15" s="366"/>
      <c r="L15" s="181">
        <v>1</v>
      </c>
      <c r="M15" s="182">
        <v>0</v>
      </c>
      <c r="N15" s="183">
        <f t="shared" si="0"/>
        <v>0</v>
      </c>
      <c r="O15" s="90"/>
      <c r="P15" s="84"/>
      <c r="Q15" s="106"/>
      <c r="R15" s="177"/>
      <c r="S15" s="177"/>
      <c r="T15" s="177"/>
      <c r="U15" s="135"/>
      <c r="V15" s="177"/>
      <c r="W15" s="106"/>
    </row>
    <row r="16" spans="1:23" ht="15" customHeight="1">
      <c r="A16" s="84"/>
      <c r="B16" s="85"/>
      <c r="C16" s="85"/>
      <c r="D16" s="96" t="s">
        <v>21</v>
      </c>
      <c r="E16" s="93">
        <f ca="1">TODAY()-E11</f>
        <v>324</v>
      </c>
      <c r="F16" s="90"/>
      <c r="G16" s="84"/>
      <c r="H16" s="85"/>
      <c r="I16" s="179">
        <v>3</v>
      </c>
      <c r="J16" s="366" t="s">
        <v>201</v>
      </c>
      <c r="K16" s="366"/>
      <c r="L16" s="181">
        <v>1</v>
      </c>
      <c r="M16" s="182">
        <v>0</v>
      </c>
      <c r="N16" s="183">
        <f t="shared" si="0"/>
        <v>0</v>
      </c>
      <c r="O16" s="90"/>
      <c r="P16" s="84"/>
      <c r="Q16" s="81"/>
      <c r="R16" s="82"/>
      <c r="S16" s="82"/>
      <c r="T16" s="83"/>
      <c r="U16" s="90"/>
    </row>
    <row r="17" spans="1:23" ht="15" customHeight="1">
      <c r="A17" s="84"/>
      <c r="B17" s="85"/>
      <c r="C17" s="85"/>
      <c r="D17" s="84"/>
      <c r="E17" s="84"/>
      <c r="F17" s="90"/>
      <c r="G17" s="84"/>
      <c r="H17" s="85"/>
      <c r="I17" s="179">
        <v>4</v>
      </c>
      <c r="J17" s="366" t="s">
        <v>202</v>
      </c>
      <c r="K17" s="366"/>
      <c r="L17" s="181">
        <v>1</v>
      </c>
      <c r="M17" s="182">
        <v>0</v>
      </c>
      <c r="N17" s="183">
        <f t="shared" si="0"/>
        <v>0</v>
      </c>
      <c r="O17" s="90"/>
      <c r="P17" s="84"/>
      <c r="Q17" s="85"/>
      <c r="R17" s="447" t="s">
        <v>90</v>
      </c>
      <c r="S17" s="447"/>
      <c r="T17" s="90"/>
      <c r="U17" s="90"/>
    </row>
    <row r="18" spans="1:23" ht="15" customHeight="1">
      <c r="A18" s="84"/>
      <c r="B18" s="85"/>
      <c r="C18" s="85"/>
      <c r="D18" s="203" t="s">
        <v>56</v>
      </c>
      <c r="E18" s="206">
        <f ca="1">IFERROR(IF((E16/E15)&gt;100%,100%,(E16/E15)),"")</f>
        <v>0.89750692520775621</v>
      </c>
      <c r="F18" s="90"/>
      <c r="G18" s="84"/>
      <c r="H18" s="85"/>
      <c r="I18" s="179">
        <v>5</v>
      </c>
      <c r="J18" s="366" t="s">
        <v>203</v>
      </c>
      <c r="K18" s="366"/>
      <c r="L18" s="181">
        <v>1</v>
      </c>
      <c r="M18" s="182">
        <v>0</v>
      </c>
      <c r="N18" s="183">
        <f t="shared" si="0"/>
        <v>0</v>
      </c>
      <c r="O18" s="90"/>
      <c r="P18" s="84"/>
      <c r="Q18" s="85"/>
      <c r="R18" s="447"/>
      <c r="S18" s="447"/>
      <c r="T18" s="90"/>
      <c r="U18" s="90"/>
    </row>
    <row r="19" spans="1:23" ht="15" customHeight="1">
      <c r="A19" s="84"/>
      <c r="B19" s="85"/>
      <c r="C19" s="99"/>
      <c r="D19" s="143"/>
      <c r="E19" s="144"/>
      <c r="F19" s="101"/>
      <c r="G19" s="84"/>
      <c r="H19" s="85"/>
      <c r="I19" s="179">
        <v>6</v>
      </c>
      <c r="J19" s="366" t="s">
        <v>204</v>
      </c>
      <c r="K19" s="366"/>
      <c r="L19" s="181">
        <v>1</v>
      </c>
      <c r="M19" s="182">
        <v>0</v>
      </c>
      <c r="N19" s="183">
        <f t="shared" si="0"/>
        <v>0</v>
      </c>
      <c r="O19" s="90"/>
      <c r="P19" s="84"/>
      <c r="Q19" s="136"/>
      <c r="R19" s="137"/>
      <c r="S19" s="137"/>
      <c r="T19" s="138"/>
      <c r="U19" s="139"/>
      <c r="V19" s="112"/>
      <c r="W19" s="106"/>
    </row>
    <row r="20" spans="1:23" ht="15" customHeight="1">
      <c r="A20" s="84"/>
      <c r="B20" s="85"/>
      <c r="C20" s="84"/>
      <c r="D20" s="191"/>
      <c r="E20" s="192"/>
      <c r="F20" s="84"/>
      <c r="G20" s="84"/>
      <c r="H20" s="85"/>
      <c r="I20" s="84"/>
      <c r="J20" s="84"/>
      <c r="K20" s="84"/>
      <c r="L20" s="184"/>
      <c r="M20" s="184"/>
      <c r="N20" s="184"/>
      <c r="O20" s="90"/>
      <c r="P20" s="84"/>
      <c r="Q20" s="106"/>
      <c r="R20" s="106"/>
      <c r="S20" s="106"/>
      <c r="T20" s="106"/>
      <c r="U20" s="140"/>
      <c r="V20" s="106"/>
      <c r="W20" s="106"/>
    </row>
    <row r="21" spans="1:23" ht="15" customHeight="1">
      <c r="A21" s="84"/>
      <c r="B21" s="85"/>
      <c r="C21" s="81"/>
      <c r="D21" s="82"/>
      <c r="E21" s="82"/>
      <c r="F21" s="83"/>
      <c r="G21" s="84"/>
      <c r="H21" s="85"/>
      <c r="I21" s="348" t="s">
        <v>142</v>
      </c>
      <c r="J21" s="348"/>
      <c r="K21" s="348"/>
      <c r="L21" s="178">
        <f>SUM(L14:L20)</f>
        <v>6</v>
      </c>
      <c r="M21" s="149">
        <f>SUM(M14:M19)</f>
        <v>0</v>
      </c>
      <c r="N21" s="150">
        <f>(M21/L21)*N11</f>
        <v>0</v>
      </c>
      <c r="O21" s="90"/>
      <c r="P21" s="84"/>
      <c r="Q21" s="81"/>
      <c r="R21" s="82"/>
      <c r="S21" s="82"/>
      <c r="T21" s="83"/>
      <c r="U21" s="90"/>
    </row>
    <row r="22" spans="1:23" ht="15" customHeight="1">
      <c r="A22" s="84"/>
      <c r="B22" s="85"/>
      <c r="C22" s="85"/>
      <c r="D22" s="427" t="s">
        <v>60</v>
      </c>
      <c r="E22" s="427"/>
      <c r="F22" s="90"/>
      <c r="G22" s="84"/>
      <c r="H22" s="99"/>
      <c r="I22" s="113"/>
      <c r="J22" s="113"/>
      <c r="K22" s="113"/>
      <c r="L22" s="113"/>
      <c r="M22" s="114"/>
      <c r="N22" s="113"/>
      <c r="O22" s="101"/>
      <c r="P22" s="84"/>
      <c r="Q22" s="85"/>
      <c r="R22" s="348" t="s">
        <v>370</v>
      </c>
      <c r="S22" s="348"/>
      <c r="T22" s="90"/>
      <c r="U22" s="90"/>
    </row>
    <row r="23" spans="1:23" ht="15" customHeight="1">
      <c r="A23" s="84"/>
      <c r="B23" s="85"/>
      <c r="C23" s="85"/>
      <c r="D23" s="66"/>
      <c r="E23" s="66"/>
      <c r="F23" s="90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  <c r="R23" s="84"/>
      <c r="S23" s="84"/>
      <c r="T23" s="90"/>
      <c r="U23" s="90"/>
    </row>
    <row r="24" spans="1:23" ht="15" customHeight="1">
      <c r="A24" s="84"/>
      <c r="B24" s="85"/>
      <c r="C24" s="85"/>
      <c r="D24" s="187" t="s">
        <v>69</v>
      </c>
      <c r="E24" s="174">
        <v>278847342.92000002</v>
      </c>
      <c r="F24" s="90"/>
      <c r="G24" s="84"/>
      <c r="H24" s="81"/>
      <c r="I24" s="82"/>
      <c r="J24" s="82"/>
      <c r="K24" s="82"/>
      <c r="L24" s="82"/>
      <c r="M24" s="82"/>
      <c r="N24" s="82"/>
      <c r="O24" s="83"/>
      <c r="P24" s="84"/>
      <c r="Q24" s="167"/>
      <c r="R24" s="397"/>
      <c r="S24" s="399"/>
      <c r="T24" s="140"/>
      <c r="U24" s="140"/>
      <c r="V24" s="106"/>
    </row>
    <row r="25" spans="1:23" ht="15" customHeight="1">
      <c r="A25" s="84"/>
      <c r="B25" s="85"/>
      <c r="C25" s="85"/>
      <c r="D25" s="66"/>
      <c r="E25" s="66"/>
      <c r="F25" s="90"/>
      <c r="G25" s="84"/>
      <c r="H25" s="85"/>
      <c r="I25" s="356" t="s">
        <v>196</v>
      </c>
      <c r="J25" s="356"/>
      <c r="K25" s="356"/>
      <c r="L25" s="356"/>
      <c r="M25" s="356"/>
      <c r="N25" s="356"/>
      <c r="O25" s="90"/>
      <c r="P25" s="84"/>
      <c r="Q25" s="167"/>
      <c r="R25" s="400"/>
      <c r="S25" s="402"/>
      <c r="T25" s="140"/>
      <c r="U25" s="141"/>
      <c r="V25" s="116"/>
    </row>
    <row r="26" spans="1:23" ht="15" customHeight="1">
      <c r="A26" s="84"/>
      <c r="B26" s="85"/>
      <c r="C26" s="85"/>
      <c r="D26" s="187" t="s">
        <v>137</v>
      </c>
      <c r="E26" s="157">
        <v>0</v>
      </c>
      <c r="F26" s="90"/>
      <c r="G26" s="84"/>
      <c r="H26" s="85"/>
      <c r="I26" s="84"/>
      <c r="J26" s="84"/>
      <c r="K26" s="84"/>
      <c r="L26" s="84"/>
      <c r="M26" s="84"/>
      <c r="N26" s="84"/>
      <c r="O26" s="90"/>
      <c r="P26" s="84"/>
      <c r="Q26" s="167"/>
      <c r="R26" s="400"/>
      <c r="S26" s="402"/>
      <c r="T26" s="140"/>
      <c r="U26" s="141"/>
      <c r="V26" s="116"/>
    </row>
    <row r="27" spans="1:23" ht="15" customHeight="1">
      <c r="A27" s="84"/>
      <c r="B27" s="85"/>
      <c r="C27" s="85"/>
      <c r="D27" s="66"/>
      <c r="E27" s="66"/>
      <c r="F27" s="90"/>
      <c r="G27" s="84"/>
      <c r="H27" s="85"/>
      <c r="I27" s="84"/>
      <c r="J27" s="120"/>
      <c r="K27" s="120"/>
      <c r="L27" s="351" t="s">
        <v>72</v>
      </c>
      <c r="M27" s="351"/>
      <c r="N27" s="92">
        <v>0.33333333333333337</v>
      </c>
      <c r="O27" s="90"/>
      <c r="P27" s="84"/>
      <c r="Q27" s="167"/>
      <c r="R27" s="400"/>
      <c r="S27" s="402"/>
      <c r="T27" s="140"/>
      <c r="U27" s="141"/>
      <c r="V27" s="116"/>
    </row>
    <row r="28" spans="1:23" ht="15" customHeight="1">
      <c r="A28" s="84"/>
      <c r="B28" s="85"/>
      <c r="C28" s="85"/>
      <c r="D28" s="52" t="s">
        <v>70</v>
      </c>
      <c r="E28" s="75">
        <f>SUM(E26:E26)</f>
        <v>0</v>
      </c>
      <c r="F28" s="90"/>
      <c r="G28" s="84"/>
      <c r="H28" s="85"/>
      <c r="I28" s="84"/>
      <c r="J28" s="84"/>
      <c r="K28" s="84"/>
      <c r="L28" s="84"/>
      <c r="M28" s="84"/>
      <c r="N28" s="84"/>
      <c r="O28" s="90"/>
      <c r="P28" s="84"/>
      <c r="Q28" s="167"/>
      <c r="R28" s="400"/>
      <c r="S28" s="402"/>
      <c r="T28" s="140"/>
      <c r="U28" s="140"/>
      <c r="V28" s="106"/>
    </row>
    <row r="29" spans="1:23" ht="15" customHeight="1">
      <c r="A29" s="84"/>
      <c r="B29" s="85"/>
      <c r="C29" s="85"/>
      <c r="D29" s="66"/>
      <c r="E29" s="66"/>
      <c r="F29" s="90"/>
      <c r="G29" s="84"/>
      <c r="H29" s="167"/>
      <c r="I29" s="354" t="s">
        <v>192</v>
      </c>
      <c r="J29" s="354"/>
      <c r="K29" s="354"/>
      <c r="L29" s="180" t="s">
        <v>194</v>
      </c>
      <c r="M29" s="95" t="s">
        <v>195</v>
      </c>
      <c r="N29" s="95" t="s">
        <v>88</v>
      </c>
      <c r="O29" s="140"/>
      <c r="P29" s="84"/>
      <c r="Q29" s="85"/>
      <c r="R29" s="400"/>
      <c r="S29" s="402"/>
      <c r="T29" s="90"/>
      <c r="U29" s="90"/>
      <c r="V29" s="84"/>
    </row>
    <row r="30" spans="1:23" ht="15" customHeight="1">
      <c r="A30" s="84"/>
      <c r="B30" s="85"/>
      <c r="C30" s="85"/>
      <c r="D30" s="159" t="s">
        <v>60</v>
      </c>
      <c r="E30" s="186">
        <f>E28/E24</f>
        <v>0</v>
      </c>
      <c r="F30" s="90"/>
      <c r="G30" s="84"/>
      <c r="H30" s="85"/>
      <c r="I30" s="409" t="s">
        <v>193</v>
      </c>
      <c r="J30" s="409"/>
      <c r="K30" s="409"/>
      <c r="L30" s="179">
        <v>110</v>
      </c>
      <c r="M30" s="202">
        <v>110</v>
      </c>
      <c r="N30" s="98">
        <f>+M30/L30</f>
        <v>1</v>
      </c>
      <c r="O30" s="90"/>
      <c r="P30" s="84"/>
      <c r="Q30" s="85"/>
      <c r="R30" s="400"/>
      <c r="S30" s="402"/>
      <c r="T30" s="90"/>
      <c r="U30" s="90"/>
      <c r="V30" s="84"/>
    </row>
    <row r="31" spans="1:23" ht="15" customHeight="1">
      <c r="A31" s="84"/>
      <c r="B31" s="85"/>
      <c r="C31" s="99"/>
      <c r="D31" s="175"/>
      <c r="E31" s="176"/>
      <c r="F31" s="101"/>
      <c r="G31" s="84"/>
      <c r="H31" s="85"/>
      <c r="I31" s="84"/>
      <c r="J31" s="84"/>
      <c r="K31" s="84"/>
      <c r="L31" s="84"/>
      <c r="M31" s="184"/>
      <c r="N31" s="84"/>
      <c r="O31" s="90"/>
      <c r="P31" s="84"/>
      <c r="Q31" s="85"/>
      <c r="R31" s="400"/>
      <c r="S31" s="402"/>
      <c r="T31" s="90"/>
      <c r="U31" s="90"/>
      <c r="V31" s="84"/>
    </row>
    <row r="32" spans="1:23">
      <c r="B32" s="85"/>
      <c r="C32" s="85"/>
      <c r="D32" s="350" t="s">
        <v>366</v>
      </c>
      <c r="E32" s="350"/>
      <c r="F32" s="90"/>
      <c r="G32" s="84"/>
      <c r="H32" s="85"/>
      <c r="I32" s="367" t="s">
        <v>143</v>
      </c>
      <c r="J32" s="367"/>
      <c r="K32" s="367"/>
      <c r="L32" s="178">
        <f>L30</f>
        <v>110</v>
      </c>
      <c r="M32" s="149">
        <f>M30</f>
        <v>110</v>
      </c>
      <c r="N32" s="150">
        <f>(M32/L32)*N27</f>
        <v>0.33333333333333337</v>
      </c>
      <c r="O32" s="90"/>
      <c r="P32" s="84"/>
      <c r="Q32" s="67"/>
      <c r="R32" s="400"/>
      <c r="S32" s="402"/>
      <c r="T32" s="68"/>
      <c r="U32" s="90"/>
    </row>
    <row r="33" spans="2:21">
      <c r="B33" s="85"/>
      <c r="C33" s="85"/>
      <c r="D33" s="84"/>
      <c r="E33" s="84"/>
      <c r="F33" s="90"/>
      <c r="G33" s="84"/>
      <c r="H33" s="99"/>
      <c r="I33" s="142"/>
      <c r="J33" s="142"/>
      <c r="K33" s="142"/>
      <c r="L33" s="143"/>
      <c r="M33" s="143"/>
      <c r="N33" s="144"/>
      <c r="O33" s="101"/>
      <c r="P33" s="84"/>
      <c r="Q33" s="67"/>
      <c r="R33" s="400"/>
      <c r="S33" s="402"/>
      <c r="T33" s="68"/>
      <c r="U33" s="90"/>
    </row>
    <row r="34" spans="2:21">
      <c r="B34" s="85"/>
      <c r="C34" s="85"/>
      <c r="D34" s="281" t="s">
        <v>57</v>
      </c>
      <c r="E34" s="151">
        <v>43880</v>
      </c>
      <c r="F34" s="90"/>
      <c r="G34" s="84"/>
      <c r="H34" s="84"/>
      <c r="I34" s="190"/>
      <c r="J34" s="190"/>
      <c r="K34" s="190"/>
      <c r="L34" s="191"/>
      <c r="M34" s="191"/>
      <c r="N34" s="192"/>
      <c r="O34" s="84"/>
      <c r="P34" s="84"/>
      <c r="Q34" s="67"/>
      <c r="R34" s="400"/>
      <c r="S34" s="402"/>
      <c r="T34" s="68"/>
      <c r="U34" s="90"/>
    </row>
    <row r="35" spans="2:21">
      <c r="B35" s="85"/>
      <c r="C35" s="85"/>
      <c r="D35" s="281" t="s">
        <v>367</v>
      </c>
      <c r="E35" s="151">
        <v>43969</v>
      </c>
      <c r="F35" s="90"/>
      <c r="G35" s="84"/>
      <c r="H35" s="81"/>
      <c r="I35" s="82"/>
      <c r="J35" s="82"/>
      <c r="K35" s="82"/>
      <c r="L35" s="82"/>
      <c r="M35" s="82"/>
      <c r="N35" s="82"/>
      <c r="O35" s="83"/>
      <c r="P35" s="84"/>
      <c r="Q35" s="67"/>
      <c r="R35" s="400"/>
      <c r="S35" s="402"/>
      <c r="T35" s="68"/>
      <c r="U35" s="90"/>
    </row>
    <row r="36" spans="2:21">
      <c r="B36" s="85"/>
      <c r="C36" s="85"/>
      <c r="D36" s="281" t="s">
        <v>368</v>
      </c>
      <c r="E36" s="93">
        <v>3</v>
      </c>
      <c r="F36" s="90"/>
      <c r="G36" s="84"/>
      <c r="H36" s="85"/>
      <c r="I36" s="356" t="s">
        <v>197</v>
      </c>
      <c r="J36" s="356"/>
      <c r="K36" s="356"/>
      <c r="L36" s="356"/>
      <c r="M36" s="356"/>
      <c r="N36" s="356"/>
      <c r="O36" s="90"/>
      <c r="P36" s="84"/>
      <c r="Q36" s="67"/>
      <c r="R36" s="403"/>
      <c r="S36" s="405"/>
      <c r="T36" s="68"/>
      <c r="U36" s="90"/>
    </row>
    <row r="37" spans="2:21">
      <c r="B37" s="85"/>
      <c r="C37" s="99"/>
      <c r="D37" s="100"/>
      <c r="E37" s="100"/>
      <c r="F37" s="101"/>
      <c r="G37" s="84"/>
      <c r="H37" s="85"/>
      <c r="I37" s="84"/>
      <c r="J37" s="84"/>
      <c r="K37" s="84"/>
      <c r="L37" s="84"/>
      <c r="M37" s="84"/>
      <c r="N37" s="84"/>
      <c r="O37" s="90"/>
      <c r="P37" s="84"/>
      <c r="Q37" s="71"/>
      <c r="R37" s="72"/>
      <c r="S37" s="72"/>
      <c r="T37" s="73"/>
      <c r="U37" s="90"/>
    </row>
    <row r="38" spans="2:21">
      <c r="B38" s="85"/>
      <c r="C38" s="84"/>
      <c r="D38" s="84"/>
      <c r="E38" s="84"/>
      <c r="F38" s="84"/>
      <c r="G38" s="84"/>
      <c r="H38" s="85"/>
      <c r="I38" s="84"/>
      <c r="J38" s="120"/>
      <c r="K38" s="120"/>
      <c r="L38" s="351" t="s">
        <v>72</v>
      </c>
      <c r="M38" s="351"/>
      <c r="N38" s="92">
        <v>0.33333333333333337</v>
      </c>
      <c r="O38" s="90"/>
      <c r="P38" s="84"/>
      <c r="Q38" s="84"/>
      <c r="R38" s="84"/>
      <c r="S38" s="84"/>
      <c r="T38" s="84"/>
      <c r="U38" s="90"/>
    </row>
    <row r="39" spans="2:21">
      <c r="B39" s="85"/>
      <c r="C39" s="84"/>
      <c r="D39" s="84"/>
      <c r="E39" s="84"/>
      <c r="F39" s="84"/>
      <c r="G39" s="84"/>
      <c r="H39" s="85"/>
      <c r="I39" s="84"/>
      <c r="J39" s="84"/>
      <c r="K39" s="84"/>
      <c r="L39" s="84"/>
      <c r="M39" s="84"/>
      <c r="N39" s="84"/>
      <c r="O39" s="90"/>
      <c r="P39" s="84"/>
      <c r="Q39" s="84"/>
      <c r="R39" s="84"/>
      <c r="S39" s="84"/>
      <c r="T39" s="84"/>
      <c r="U39" s="90"/>
    </row>
    <row r="40" spans="2:21">
      <c r="B40" s="85"/>
      <c r="C40" s="84"/>
      <c r="D40" s="84"/>
      <c r="E40" s="84"/>
      <c r="F40" s="84"/>
      <c r="G40" s="84"/>
      <c r="H40" s="85"/>
      <c r="I40" s="354" t="s">
        <v>192</v>
      </c>
      <c r="J40" s="354"/>
      <c r="K40" s="354"/>
      <c r="L40" s="180" t="s">
        <v>194</v>
      </c>
      <c r="M40" s="95" t="s">
        <v>195</v>
      </c>
      <c r="N40" s="95" t="s">
        <v>88</v>
      </c>
      <c r="O40" s="90"/>
      <c r="P40" s="84"/>
      <c r="Q40" s="84"/>
      <c r="R40" s="84"/>
      <c r="S40" s="84"/>
      <c r="T40" s="84"/>
      <c r="U40" s="90"/>
    </row>
    <row r="41" spans="2:21">
      <c r="B41" s="85"/>
      <c r="C41" s="84"/>
      <c r="D41" s="84"/>
      <c r="E41" s="84"/>
      <c r="F41" s="84"/>
      <c r="G41" s="84"/>
      <c r="H41" s="85"/>
      <c r="I41" s="179">
        <v>1</v>
      </c>
      <c r="J41" s="366" t="s">
        <v>199</v>
      </c>
      <c r="K41" s="366"/>
      <c r="L41" s="189">
        <v>543</v>
      </c>
      <c r="M41" s="182">
        <v>0</v>
      </c>
      <c r="N41" s="98">
        <f t="shared" ref="N41:N46" si="1">+M41/L41</f>
        <v>0</v>
      </c>
      <c r="O41" s="90"/>
      <c r="P41" s="84"/>
      <c r="Q41" s="84"/>
      <c r="R41" s="84"/>
      <c r="S41" s="84"/>
      <c r="T41" s="84"/>
      <c r="U41" s="90"/>
    </row>
    <row r="42" spans="2:21">
      <c r="B42" s="85"/>
      <c r="C42" s="84"/>
      <c r="D42" s="84"/>
      <c r="E42" s="84"/>
      <c r="F42" s="84"/>
      <c r="G42" s="84"/>
      <c r="H42" s="85"/>
      <c r="I42" s="179">
        <v>2</v>
      </c>
      <c r="J42" s="366" t="s">
        <v>200</v>
      </c>
      <c r="K42" s="366"/>
      <c r="L42" s="189">
        <v>200</v>
      </c>
      <c r="M42" s="182">
        <v>0</v>
      </c>
      <c r="N42" s="98">
        <f t="shared" si="1"/>
        <v>0</v>
      </c>
      <c r="O42" s="90"/>
      <c r="P42" s="84"/>
      <c r="Q42" s="84"/>
      <c r="R42" s="84"/>
      <c r="S42" s="84"/>
      <c r="T42" s="84"/>
      <c r="U42" s="90"/>
    </row>
    <row r="43" spans="2:21">
      <c r="B43" s="85"/>
      <c r="C43" s="84"/>
      <c r="D43" s="84"/>
      <c r="E43" s="84"/>
      <c r="F43" s="84"/>
      <c r="G43" s="84"/>
      <c r="H43" s="85"/>
      <c r="I43" s="179">
        <v>3</v>
      </c>
      <c r="J43" s="366" t="s">
        <v>201</v>
      </c>
      <c r="K43" s="366"/>
      <c r="L43" s="189">
        <v>412</v>
      </c>
      <c r="M43" s="182">
        <v>0</v>
      </c>
      <c r="N43" s="98">
        <f t="shared" si="1"/>
        <v>0</v>
      </c>
      <c r="O43" s="90"/>
      <c r="P43" s="84"/>
      <c r="Q43" s="84"/>
      <c r="R43" s="84"/>
      <c r="S43" s="84"/>
      <c r="T43" s="84"/>
      <c r="U43" s="90"/>
    </row>
    <row r="44" spans="2:21">
      <c r="B44" s="85"/>
      <c r="C44" s="84"/>
      <c r="D44" s="84"/>
      <c r="E44" s="84"/>
      <c r="F44" s="84"/>
      <c r="G44" s="84"/>
      <c r="H44" s="85"/>
      <c r="I44" s="179">
        <v>4</v>
      </c>
      <c r="J44" s="366" t="s">
        <v>202</v>
      </c>
      <c r="K44" s="366"/>
      <c r="L44" s="189">
        <v>439</v>
      </c>
      <c r="M44" s="182">
        <v>0</v>
      </c>
      <c r="N44" s="98">
        <f t="shared" si="1"/>
        <v>0</v>
      </c>
      <c r="O44" s="90"/>
      <c r="P44" s="84"/>
      <c r="Q44" s="84"/>
      <c r="R44" s="84"/>
      <c r="S44" s="84"/>
      <c r="T44" s="84"/>
      <c r="U44" s="90"/>
    </row>
    <row r="45" spans="2:21">
      <c r="B45" s="85"/>
      <c r="C45" s="84"/>
      <c r="D45" s="84"/>
      <c r="E45" s="84"/>
      <c r="F45" s="84"/>
      <c r="G45" s="84"/>
      <c r="H45" s="167"/>
      <c r="I45" s="179">
        <v>5</v>
      </c>
      <c r="J45" s="366" t="s">
        <v>203</v>
      </c>
      <c r="K45" s="366"/>
      <c r="L45" s="189">
        <v>1132</v>
      </c>
      <c r="M45" s="182">
        <v>0</v>
      </c>
      <c r="N45" s="98">
        <f t="shared" si="1"/>
        <v>0</v>
      </c>
      <c r="O45" s="140"/>
      <c r="P45" s="84"/>
      <c r="Q45" s="84"/>
      <c r="R45" s="84"/>
      <c r="S45" s="84"/>
      <c r="T45" s="84"/>
      <c r="U45" s="90"/>
    </row>
    <row r="46" spans="2:21">
      <c r="B46" s="85"/>
      <c r="C46" s="84"/>
      <c r="D46" s="84"/>
      <c r="E46" s="84"/>
      <c r="F46" s="84"/>
      <c r="G46" s="84"/>
      <c r="H46" s="85"/>
      <c r="I46" s="179">
        <v>6</v>
      </c>
      <c r="J46" s="366" t="s">
        <v>204</v>
      </c>
      <c r="K46" s="366"/>
      <c r="L46" s="189">
        <v>358</v>
      </c>
      <c r="M46" s="182">
        <v>0</v>
      </c>
      <c r="N46" s="98">
        <f t="shared" si="1"/>
        <v>0</v>
      </c>
      <c r="O46" s="90"/>
      <c r="P46" s="84"/>
      <c r="Q46" s="84"/>
      <c r="R46" s="84"/>
      <c r="S46" s="84"/>
      <c r="T46" s="84"/>
      <c r="U46" s="90"/>
    </row>
    <row r="47" spans="2:21">
      <c r="B47" s="85"/>
      <c r="C47" s="84"/>
      <c r="D47" s="84"/>
      <c r="E47" s="84"/>
      <c r="F47" s="84"/>
      <c r="G47" s="84"/>
      <c r="H47" s="85"/>
      <c r="I47" s="84"/>
      <c r="J47" s="84"/>
      <c r="K47" s="84"/>
      <c r="L47" s="84"/>
      <c r="M47" s="184"/>
      <c r="N47" s="84"/>
      <c r="O47" s="90"/>
      <c r="P47" s="84"/>
      <c r="Q47" s="84"/>
      <c r="R47" s="84"/>
      <c r="S47" s="84"/>
      <c r="T47" s="84"/>
      <c r="U47" s="90"/>
    </row>
    <row r="48" spans="2:21">
      <c r="B48" s="85"/>
      <c r="C48" s="84"/>
      <c r="D48" s="84"/>
      <c r="E48" s="84"/>
      <c r="F48" s="84"/>
      <c r="G48" s="84"/>
      <c r="H48" s="85"/>
      <c r="I48" s="367" t="s">
        <v>145</v>
      </c>
      <c r="J48" s="367"/>
      <c r="K48" s="367"/>
      <c r="L48" s="178">
        <f>SUM(L41:L46)</f>
        <v>3084</v>
      </c>
      <c r="M48" s="178">
        <f>SUM(M41:M46)</f>
        <v>0</v>
      </c>
      <c r="N48" s="150">
        <f>(M48/L48)*N38</f>
        <v>0</v>
      </c>
      <c r="O48" s="90"/>
      <c r="P48" s="84"/>
      <c r="Q48" s="84"/>
      <c r="R48" s="84"/>
      <c r="S48" s="84"/>
      <c r="T48" s="84"/>
      <c r="U48" s="90"/>
    </row>
    <row r="49" spans="2:21">
      <c r="B49" s="85"/>
      <c r="C49" s="84"/>
      <c r="D49" s="84"/>
      <c r="E49" s="84"/>
      <c r="F49" s="84"/>
      <c r="G49" s="84"/>
      <c r="H49" s="99"/>
      <c r="I49" s="142"/>
      <c r="J49" s="142"/>
      <c r="K49" s="142"/>
      <c r="L49" s="143"/>
      <c r="M49" s="143"/>
      <c r="N49" s="144"/>
      <c r="O49" s="101"/>
      <c r="P49" s="84"/>
      <c r="Q49" s="84"/>
      <c r="R49" s="84"/>
      <c r="S49" s="84"/>
      <c r="T49" s="84"/>
      <c r="U49" s="90"/>
    </row>
    <row r="50" spans="2:21">
      <c r="B50" s="85"/>
      <c r="C50" s="84"/>
      <c r="D50" s="84"/>
      <c r="E50" s="84"/>
      <c r="F50" s="84"/>
      <c r="G50" s="84"/>
      <c r="H50" s="84"/>
      <c r="I50" s="190"/>
      <c r="J50" s="190"/>
      <c r="K50" s="190"/>
      <c r="L50" s="191"/>
      <c r="M50" s="191"/>
      <c r="N50" s="192"/>
      <c r="O50" s="84"/>
      <c r="P50" s="84"/>
      <c r="Q50" s="84"/>
      <c r="R50" s="84"/>
      <c r="S50" s="84"/>
      <c r="T50" s="84"/>
      <c r="U50" s="90"/>
    </row>
    <row r="51" spans="2:21" ht="30" customHeight="1">
      <c r="B51" s="85"/>
      <c r="C51" s="84"/>
      <c r="D51" s="84"/>
      <c r="E51" s="84"/>
      <c r="F51" s="84"/>
      <c r="G51" s="84"/>
      <c r="H51" s="354" t="s">
        <v>222</v>
      </c>
      <c r="I51" s="354"/>
      <c r="J51" s="354"/>
      <c r="K51" s="354"/>
      <c r="L51" s="226" t="s">
        <v>221</v>
      </c>
      <c r="M51" s="226" t="s">
        <v>223</v>
      </c>
      <c r="N51" s="226" t="s">
        <v>224</v>
      </c>
      <c r="O51" s="410" t="s">
        <v>225</v>
      </c>
      <c r="P51" s="410"/>
      <c r="Q51" s="410" t="s">
        <v>226</v>
      </c>
      <c r="R51" s="410"/>
      <c r="S51" s="84"/>
      <c r="T51" s="84"/>
      <c r="U51" s="90"/>
    </row>
    <row r="52" spans="2:21" ht="27" customHeight="1">
      <c r="B52" s="85"/>
      <c r="C52" s="84"/>
      <c r="D52" s="84"/>
      <c r="E52" s="84"/>
      <c r="F52" s="84"/>
      <c r="G52" s="84"/>
      <c r="H52" s="346" t="s">
        <v>249</v>
      </c>
      <c r="I52" s="346"/>
      <c r="J52" s="346"/>
      <c r="K52" s="346"/>
      <c r="L52" s="225" t="s">
        <v>250</v>
      </c>
      <c r="M52" s="225">
        <v>6</v>
      </c>
      <c r="N52" s="237">
        <v>0</v>
      </c>
      <c r="O52" s="395">
        <v>0.85</v>
      </c>
      <c r="P52" s="395"/>
      <c r="Q52" s="395">
        <v>0</v>
      </c>
      <c r="R52" s="395"/>
      <c r="S52" s="84"/>
      <c r="T52" s="84"/>
      <c r="U52" s="90"/>
    </row>
    <row r="53" spans="2:21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1"/>
    </row>
    <row r="54" spans="2:21">
      <c r="I54" s="84"/>
      <c r="J54" s="84"/>
      <c r="K54" s="84"/>
      <c r="L54" s="84"/>
      <c r="M54" s="84"/>
      <c r="N54" s="84"/>
    </row>
    <row r="55" spans="2:21">
      <c r="H55" s="84"/>
      <c r="I55" s="84"/>
      <c r="J55" s="84"/>
      <c r="K55" s="84"/>
      <c r="L55" s="84"/>
      <c r="M55" s="84"/>
      <c r="N55" s="84"/>
    </row>
    <row r="56" spans="2:21">
      <c r="H56" s="84"/>
      <c r="I56" s="84"/>
      <c r="J56" s="84"/>
      <c r="K56" s="84"/>
      <c r="L56" s="84"/>
      <c r="M56" s="84"/>
      <c r="N56" s="84"/>
    </row>
  </sheetData>
  <mergeCells count="39">
    <mergeCell ref="J45:K45"/>
    <mergeCell ref="J46:K46"/>
    <mergeCell ref="D32:E32"/>
    <mergeCell ref="L27:M27"/>
    <mergeCell ref="I30:K30"/>
    <mergeCell ref="Q51:R51"/>
    <mergeCell ref="Q52:R52"/>
    <mergeCell ref="H51:K51"/>
    <mergeCell ref="H52:K52"/>
    <mergeCell ref="O51:P51"/>
    <mergeCell ref="O52:P52"/>
    <mergeCell ref="I48:K48"/>
    <mergeCell ref="I36:N36"/>
    <mergeCell ref="L38:M38"/>
    <mergeCell ref="I40:K40"/>
    <mergeCell ref="J41:K41"/>
    <mergeCell ref="J42:K42"/>
    <mergeCell ref="J43:K43"/>
    <mergeCell ref="J44:K44"/>
    <mergeCell ref="R22:S22"/>
    <mergeCell ref="R24:S36"/>
    <mergeCell ref="I32:K32"/>
    <mergeCell ref="I29:K29"/>
    <mergeCell ref="D22:E22"/>
    <mergeCell ref="I25:N25"/>
    <mergeCell ref="C3:F6"/>
    <mergeCell ref="G3:T6"/>
    <mergeCell ref="D9:E9"/>
    <mergeCell ref="I9:N9"/>
    <mergeCell ref="I11:M11"/>
    <mergeCell ref="J14:K14"/>
    <mergeCell ref="J15:K15"/>
    <mergeCell ref="J16:K16"/>
    <mergeCell ref="J17:K17"/>
    <mergeCell ref="J18:K18"/>
    <mergeCell ref="I13:K13"/>
    <mergeCell ref="J19:K19"/>
    <mergeCell ref="R17:S18"/>
    <mergeCell ref="I21:K21"/>
  </mergeCells>
  <hyperlinks>
    <hyperlink ref="R17:R18" location="'PROYECTOS DASHBOARD'!O92" display="CLICK - GRAFICA DASHBOARD " xr:uid="{00000000-0004-0000-0F00-000000000000}"/>
  </hyperlinks>
  <pageMargins left="0.7" right="0.7" top="0.75" bottom="0.75" header="0.3" footer="0.3"/>
  <pageSetup orientation="portrait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S51"/>
  <sheetViews>
    <sheetView showGridLines="0" zoomScale="85" zoomScaleNormal="85" workbookViewId="0">
      <pane ySplit="6" topLeftCell="A7" activePane="bottomLeft" state="frozen"/>
      <selection pane="bottomLeft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8" width="2.85546875" style="80" customWidth="1"/>
    <col min="9" max="9" width="14.42578125" style="80" customWidth="1"/>
    <col min="10" max="10" width="21.85546875" style="80" customWidth="1"/>
    <col min="11" max="13" width="17.7109375" style="80" customWidth="1"/>
    <col min="14" max="17" width="2.85546875" style="80" customWidth="1"/>
    <col min="18" max="18" width="3.42578125" style="80" customWidth="1"/>
    <col min="19" max="16384" width="10.85546875" style="80"/>
  </cols>
  <sheetData>
    <row r="2" spans="2:19" ht="1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4"/>
      <c r="Q2" s="84"/>
      <c r="R2" s="84"/>
    </row>
    <row r="3" spans="2:19" ht="15" customHeight="1">
      <c r="B3" s="85"/>
      <c r="C3" s="343"/>
      <c r="D3" s="343"/>
      <c r="E3" s="343"/>
      <c r="F3" s="343"/>
      <c r="G3" s="430" t="s">
        <v>376</v>
      </c>
      <c r="H3" s="430"/>
      <c r="I3" s="430"/>
      <c r="J3" s="430"/>
      <c r="K3" s="430"/>
      <c r="L3" s="430"/>
      <c r="M3" s="430"/>
      <c r="N3" s="430"/>
      <c r="O3" s="86"/>
      <c r="P3" s="87"/>
      <c r="Q3" s="87"/>
      <c r="R3" s="84"/>
    </row>
    <row r="4" spans="2:19" ht="15" customHeight="1">
      <c r="B4" s="85"/>
      <c r="C4" s="343"/>
      <c r="D4" s="343"/>
      <c r="E4" s="343"/>
      <c r="F4" s="343"/>
      <c r="G4" s="430"/>
      <c r="H4" s="430"/>
      <c r="I4" s="430"/>
      <c r="J4" s="430"/>
      <c r="K4" s="430"/>
      <c r="L4" s="430"/>
      <c r="M4" s="430"/>
      <c r="N4" s="430"/>
      <c r="O4" s="86"/>
      <c r="P4" s="87"/>
      <c r="Q4" s="87"/>
      <c r="R4" s="84"/>
    </row>
    <row r="5" spans="2:19" ht="15" customHeight="1">
      <c r="B5" s="85"/>
      <c r="C5" s="343"/>
      <c r="D5" s="343"/>
      <c r="E5" s="343"/>
      <c r="F5" s="343"/>
      <c r="G5" s="430"/>
      <c r="H5" s="430"/>
      <c r="I5" s="430"/>
      <c r="J5" s="430"/>
      <c r="K5" s="430"/>
      <c r="L5" s="430"/>
      <c r="M5" s="430"/>
      <c r="N5" s="430"/>
      <c r="O5" s="86"/>
      <c r="P5" s="87"/>
      <c r="Q5" s="87"/>
      <c r="R5" s="84"/>
    </row>
    <row r="6" spans="2:19" ht="15" customHeight="1">
      <c r="B6" s="85"/>
      <c r="C6" s="343"/>
      <c r="D6" s="343"/>
      <c r="E6" s="343"/>
      <c r="F6" s="343"/>
      <c r="G6" s="430"/>
      <c r="H6" s="430"/>
      <c r="I6" s="430"/>
      <c r="J6" s="430"/>
      <c r="K6" s="430"/>
      <c r="L6" s="430"/>
      <c r="M6" s="430"/>
      <c r="N6" s="430"/>
      <c r="O6" s="86"/>
      <c r="P6" s="87"/>
      <c r="Q6" s="87"/>
      <c r="R6" s="84"/>
    </row>
    <row r="7" spans="2:19" ht="15" customHeight="1">
      <c r="B7" s="85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90"/>
    </row>
    <row r="8" spans="2:19" ht="15" customHeight="1"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3"/>
      <c r="O8" s="90"/>
      <c r="P8" s="84"/>
      <c r="R8" s="84"/>
      <c r="S8" s="84"/>
    </row>
    <row r="9" spans="2:19" ht="15" customHeight="1">
      <c r="B9" s="85"/>
      <c r="C9" s="85"/>
      <c r="D9" s="350" t="s">
        <v>56</v>
      </c>
      <c r="E9" s="350"/>
      <c r="F9" s="90"/>
      <c r="G9" s="84"/>
      <c r="H9" s="85"/>
      <c r="I9" s="350" t="s">
        <v>390</v>
      </c>
      <c r="J9" s="350"/>
      <c r="K9" s="350"/>
      <c r="L9" s="350"/>
      <c r="M9" s="350"/>
      <c r="N9" s="90"/>
      <c r="O9" s="90"/>
      <c r="S9" s="84"/>
    </row>
    <row r="10" spans="2:19" ht="15" customHeight="1"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90"/>
      <c r="O10" s="90"/>
      <c r="S10" s="84"/>
    </row>
    <row r="11" spans="2:19" ht="15" customHeight="1">
      <c r="B11" s="85"/>
      <c r="C11" s="85"/>
      <c r="D11" s="281" t="s">
        <v>57</v>
      </c>
      <c r="E11" s="151">
        <v>44015</v>
      </c>
      <c r="F11" s="90"/>
      <c r="G11" s="84"/>
      <c r="H11" s="85"/>
      <c r="I11" s="351" t="s">
        <v>141</v>
      </c>
      <c r="J11" s="351"/>
      <c r="K11" s="351"/>
      <c r="L11" s="351"/>
      <c r="M11" s="300">
        <v>0.5</v>
      </c>
      <c r="N11" s="90"/>
      <c r="O11" s="90"/>
      <c r="S11" s="84"/>
    </row>
    <row r="12" spans="2:19" ht="15" customHeight="1">
      <c r="B12" s="85"/>
      <c r="C12" s="85"/>
      <c r="D12" s="281" t="s">
        <v>58</v>
      </c>
      <c r="E12" s="151">
        <v>44074</v>
      </c>
      <c r="F12" s="90"/>
      <c r="G12" s="84"/>
      <c r="H12" s="85"/>
      <c r="I12" s="84"/>
      <c r="J12" s="84"/>
      <c r="K12" s="84"/>
      <c r="L12" s="84"/>
      <c r="M12" s="84"/>
      <c r="N12" s="90"/>
      <c r="O12" s="90"/>
      <c r="S12" s="84"/>
    </row>
    <row r="13" spans="2:19" ht="15" customHeight="1">
      <c r="B13" s="85"/>
      <c r="C13" s="85"/>
      <c r="D13" s="281" t="s">
        <v>59</v>
      </c>
      <c r="E13" s="93">
        <f>E12-E11</f>
        <v>59</v>
      </c>
      <c r="F13" s="90"/>
      <c r="G13" s="84"/>
      <c r="H13" s="85"/>
      <c r="I13" s="344" t="s">
        <v>45</v>
      </c>
      <c r="J13" s="345"/>
      <c r="K13" s="280" t="s">
        <v>94</v>
      </c>
      <c r="L13" s="95" t="s">
        <v>87</v>
      </c>
      <c r="M13" s="95" t="s">
        <v>88</v>
      </c>
      <c r="N13" s="90"/>
      <c r="O13" s="90"/>
      <c r="S13" s="84"/>
    </row>
    <row r="14" spans="2:19" ht="15" customHeight="1">
      <c r="B14" s="85"/>
      <c r="C14" s="85"/>
      <c r="D14" s="96" t="s">
        <v>21</v>
      </c>
      <c r="E14" s="93">
        <f ca="1">TODAY()-E11</f>
        <v>97</v>
      </c>
      <c r="F14" s="90"/>
      <c r="G14" s="84"/>
      <c r="H14" s="85"/>
      <c r="I14" s="433" t="s">
        <v>391</v>
      </c>
      <c r="J14" s="434"/>
      <c r="K14" s="275">
        <v>4</v>
      </c>
      <c r="L14" s="279">
        <v>4</v>
      </c>
      <c r="M14" s="98">
        <f>+L14/K14</f>
        <v>1</v>
      </c>
      <c r="N14" s="90"/>
      <c r="O14" s="90"/>
      <c r="R14" s="84"/>
      <c r="S14" s="84"/>
    </row>
    <row r="15" spans="2:19" ht="15" customHeight="1">
      <c r="B15" s="85"/>
      <c r="C15" s="85"/>
      <c r="D15" s="84"/>
      <c r="E15" s="84"/>
      <c r="F15" s="90"/>
      <c r="G15" s="84"/>
      <c r="H15" s="85"/>
      <c r="I15" s="84"/>
      <c r="J15" s="84"/>
      <c r="K15" s="84"/>
      <c r="L15" s="84"/>
      <c r="M15" s="84"/>
      <c r="N15" s="90"/>
      <c r="O15" s="90"/>
      <c r="S15" s="84"/>
    </row>
    <row r="16" spans="2:19" ht="15" customHeight="1">
      <c r="B16" s="85"/>
      <c r="C16" s="85"/>
      <c r="D16" s="276" t="s">
        <v>56</v>
      </c>
      <c r="E16" s="277">
        <f ca="1">IF((E14/E13)&gt;100%,100%,(E14/E13))</f>
        <v>1</v>
      </c>
      <c r="F16" s="90"/>
      <c r="G16" s="84"/>
      <c r="H16" s="85"/>
      <c r="I16" s="367" t="s">
        <v>142</v>
      </c>
      <c r="J16" s="367"/>
      <c r="K16" s="367"/>
      <c r="L16" s="276">
        <f>SUM(L14:L14)</f>
        <v>4</v>
      </c>
      <c r="M16" s="277">
        <f>M14*M11</f>
        <v>0.5</v>
      </c>
      <c r="N16" s="90"/>
      <c r="O16" s="90"/>
      <c r="S16" s="84"/>
    </row>
    <row r="17" spans="2:19" ht="15" customHeight="1">
      <c r="B17" s="85"/>
      <c r="C17" s="99"/>
      <c r="D17" s="100"/>
      <c r="E17" s="100"/>
      <c r="F17" s="101"/>
      <c r="G17" s="84"/>
      <c r="H17" s="99"/>
      <c r="I17" s="100"/>
      <c r="J17" s="100"/>
      <c r="K17" s="100"/>
      <c r="L17" s="100"/>
      <c r="M17" s="100"/>
      <c r="N17" s="101"/>
      <c r="O17" s="90"/>
      <c r="S17" s="84"/>
    </row>
    <row r="18" spans="2:19" ht="15" customHeight="1">
      <c r="B18" s="85"/>
      <c r="G18" s="84"/>
      <c r="O18" s="90"/>
      <c r="R18" s="84"/>
      <c r="S18" s="84"/>
    </row>
    <row r="19" spans="2:19" ht="15" customHeight="1">
      <c r="B19" s="85"/>
      <c r="C19" s="81"/>
      <c r="D19" s="82"/>
      <c r="E19" s="82"/>
      <c r="F19" s="83"/>
      <c r="G19" s="84"/>
      <c r="H19" s="81"/>
      <c r="I19" s="82"/>
      <c r="J19" s="82"/>
      <c r="K19" s="82"/>
      <c r="L19" s="82"/>
      <c r="M19" s="82"/>
      <c r="N19" s="83"/>
      <c r="O19" s="90"/>
      <c r="R19" s="84"/>
      <c r="S19" s="84"/>
    </row>
    <row r="20" spans="2:19" ht="15" customHeight="1">
      <c r="B20" s="85"/>
      <c r="C20" s="85"/>
      <c r="D20" s="350" t="s">
        <v>60</v>
      </c>
      <c r="E20" s="350"/>
      <c r="F20" s="90"/>
      <c r="G20" s="84"/>
      <c r="H20" s="85"/>
      <c r="I20" s="350" t="s">
        <v>390</v>
      </c>
      <c r="J20" s="350"/>
      <c r="K20" s="350"/>
      <c r="L20" s="350"/>
      <c r="M20" s="350"/>
      <c r="N20" s="90"/>
      <c r="O20" s="90"/>
      <c r="R20" s="84"/>
      <c r="S20" s="84"/>
    </row>
    <row r="21" spans="2:19" ht="15" customHeight="1">
      <c r="B21" s="85"/>
      <c r="C21" s="85"/>
      <c r="D21" s="84"/>
      <c r="E21" s="84"/>
      <c r="F21" s="90"/>
      <c r="G21" s="84"/>
      <c r="H21" s="85"/>
      <c r="I21" s="84"/>
      <c r="J21" s="84"/>
      <c r="K21" s="84"/>
      <c r="L21" s="84"/>
      <c r="M21" s="84"/>
      <c r="N21" s="90"/>
      <c r="O21" s="90"/>
      <c r="R21" s="84"/>
      <c r="S21" s="84"/>
    </row>
    <row r="22" spans="2:19" ht="15" customHeight="1">
      <c r="B22" s="85"/>
      <c r="C22" s="85"/>
      <c r="D22" s="275" t="s">
        <v>69</v>
      </c>
      <c r="E22" s="102">
        <v>16130836</v>
      </c>
      <c r="F22" s="90"/>
      <c r="G22" s="84"/>
      <c r="H22" s="85"/>
      <c r="I22" s="351" t="s">
        <v>141</v>
      </c>
      <c r="J22" s="351"/>
      <c r="K22" s="351"/>
      <c r="L22" s="351"/>
      <c r="M22" s="300">
        <v>0.5</v>
      </c>
      <c r="N22" s="90"/>
      <c r="O22" s="90"/>
      <c r="R22" s="84"/>
      <c r="S22" s="84"/>
    </row>
    <row r="23" spans="2:19" ht="15" customHeight="1">
      <c r="B23" s="85"/>
      <c r="C23" s="85"/>
      <c r="F23" s="90"/>
      <c r="G23" s="84"/>
      <c r="H23" s="85"/>
      <c r="I23" s="84"/>
      <c r="J23" s="84"/>
      <c r="K23" s="84"/>
      <c r="L23" s="84"/>
      <c r="M23" s="84"/>
      <c r="N23" s="90"/>
      <c r="O23" s="90"/>
      <c r="R23" s="84"/>
    </row>
    <row r="24" spans="2:19" ht="15" customHeight="1">
      <c r="B24" s="85"/>
      <c r="C24" s="85"/>
      <c r="D24" s="275" t="s">
        <v>377</v>
      </c>
      <c r="E24" s="152"/>
      <c r="F24" s="90"/>
      <c r="G24" s="84"/>
      <c r="H24" s="85"/>
      <c r="I24" s="344" t="s">
        <v>45</v>
      </c>
      <c r="J24" s="345"/>
      <c r="K24" s="317" t="s">
        <v>94</v>
      </c>
      <c r="L24" s="95" t="s">
        <v>87</v>
      </c>
      <c r="M24" s="95" t="s">
        <v>88</v>
      </c>
      <c r="N24" s="90"/>
      <c r="O24" s="90"/>
      <c r="R24" s="84"/>
    </row>
    <row r="25" spans="2:19" ht="15" customHeight="1">
      <c r="B25" s="85"/>
      <c r="C25" s="85"/>
      <c r="D25" s="292"/>
      <c r="E25" s="299"/>
      <c r="F25" s="90"/>
      <c r="G25" s="84"/>
      <c r="H25" s="85"/>
      <c r="I25" s="433" t="s">
        <v>389</v>
      </c>
      <c r="J25" s="434"/>
      <c r="K25" s="303">
        <v>4</v>
      </c>
      <c r="L25" s="316">
        <v>4</v>
      </c>
      <c r="M25" s="98">
        <f>+L25/K25</f>
        <v>1</v>
      </c>
      <c r="N25" s="90"/>
      <c r="O25" s="90"/>
      <c r="R25" s="84"/>
    </row>
    <row r="26" spans="2:19" ht="15" customHeight="1">
      <c r="B26" s="85"/>
      <c r="C26" s="85"/>
      <c r="D26" s="103" t="s">
        <v>70</v>
      </c>
      <c r="E26" s="104">
        <f>+E24/E22</f>
        <v>0</v>
      </c>
      <c r="F26" s="90"/>
      <c r="G26" s="84"/>
      <c r="H26" s="85"/>
      <c r="I26" s="84"/>
      <c r="J26" s="84"/>
      <c r="K26" s="84"/>
      <c r="L26" s="84"/>
      <c r="M26" s="84"/>
      <c r="N26" s="90"/>
      <c r="O26" s="90"/>
      <c r="R26" s="84"/>
    </row>
    <row r="27" spans="2:19" ht="15" customHeight="1">
      <c r="B27" s="85"/>
      <c r="C27" s="85"/>
      <c r="D27" s="84"/>
      <c r="E27" s="84"/>
      <c r="F27" s="90"/>
      <c r="G27" s="84"/>
      <c r="H27" s="85"/>
      <c r="I27" s="367" t="s">
        <v>142</v>
      </c>
      <c r="J27" s="367"/>
      <c r="K27" s="367"/>
      <c r="L27" s="305">
        <f>SUM(L25:L25)</f>
        <v>4</v>
      </c>
      <c r="M27" s="301">
        <f>M25*M22</f>
        <v>0.5</v>
      </c>
      <c r="N27" s="90"/>
      <c r="O27" s="90"/>
      <c r="R27" s="84"/>
    </row>
    <row r="28" spans="2:19" ht="15" customHeight="1">
      <c r="B28" s="85"/>
      <c r="C28" s="85"/>
      <c r="D28" s="276" t="s">
        <v>60</v>
      </c>
      <c r="E28" s="277">
        <f>E26/E22</f>
        <v>0</v>
      </c>
      <c r="F28" s="90"/>
      <c r="G28" s="84"/>
      <c r="H28" s="99"/>
      <c r="I28" s="100"/>
      <c r="J28" s="100"/>
      <c r="K28" s="100"/>
      <c r="L28" s="100"/>
      <c r="M28" s="100"/>
      <c r="N28" s="101"/>
      <c r="O28" s="90"/>
      <c r="R28" s="84"/>
    </row>
    <row r="29" spans="2:19" ht="15" customHeight="1">
      <c r="B29" s="85"/>
      <c r="C29" s="99"/>
      <c r="D29" s="100"/>
      <c r="E29" s="100"/>
      <c r="F29" s="101"/>
      <c r="G29" s="84"/>
      <c r="O29" s="90"/>
      <c r="R29" s="84"/>
    </row>
    <row r="30" spans="2:19" ht="15" customHeight="1">
      <c r="B30" s="85"/>
      <c r="G30" s="84"/>
      <c r="H30" s="81"/>
      <c r="I30" s="82"/>
      <c r="J30" s="82"/>
      <c r="K30" s="82"/>
      <c r="L30" s="82"/>
      <c r="M30" s="82"/>
      <c r="N30" s="83"/>
      <c r="O30" s="90"/>
      <c r="R30" s="84"/>
    </row>
    <row r="31" spans="2:19" ht="15" customHeight="1">
      <c r="B31" s="85"/>
      <c r="C31" s="84"/>
      <c r="D31" s="84"/>
      <c r="E31" s="84"/>
      <c r="F31" s="84"/>
      <c r="G31" s="84"/>
      <c r="H31" s="85"/>
      <c r="I31" s="449" t="s">
        <v>89</v>
      </c>
      <c r="J31" s="449"/>
      <c r="K31" s="449"/>
      <c r="L31" s="449"/>
      <c r="M31" s="277">
        <f>+M27+M16</f>
        <v>1</v>
      </c>
      <c r="N31" s="90"/>
      <c r="O31" s="90"/>
      <c r="R31" s="84"/>
    </row>
    <row r="32" spans="2:19" ht="15" customHeight="1">
      <c r="B32" s="85"/>
      <c r="C32" s="84"/>
      <c r="D32" s="84"/>
      <c r="E32" s="84"/>
      <c r="F32" s="84"/>
      <c r="G32" s="84"/>
      <c r="H32" s="99"/>
      <c r="I32" s="100"/>
      <c r="J32" s="100"/>
      <c r="K32" s="100"/>
      <c r="L32" s="100"/>
      <c r="M32" s="100"/>
      <c r="N32" s="101"/>
      <c r="O32" s="90"/>
      <c r="R32" s="84"/>
    </row>
    <row r="33" spans="2:18" ht="15" customHeight="1">
      <c r="B33" s="85"/>
      <c r="G33" s="84"/>
      <c r="O33" s="90"/>
      <c r="R33" s="84"/>
    </row>
    <row r="34" spans="2:18" ht="15" customHeight="1">
      <c r="B34" s="85"/>
      <c r="H34" s="81"/>
      <c r="I34" s="82"/>
      <c r="J34" s="82"/>
      <c r="K34" s="82"/>
      <c r="L34" s="82"/>
      <c r="M34" s="82"/>
      <c r="N34" s="83"/>
      <c r="O34" s="90"/>
      <c r="R34" s="84"/>
    </row>
    <row r="35" spans="2:18" ht="15" customHeight="1">
      <c r="B35" s="85"/>
      <c r="H35" s="85"/>
      <c r="I35" s="315" t="s">
        <v>90</v>
      </c>
      <c r="J35" s="315"/>
      <c r="K35" s="315"/>
      <c r="L35" s="315"/>
      <c r="M35" s="315"/>
      <c r="N35" s="90"/>
      <c r="O35" s="90"/>
      <c r="R35" s="84"/>
    </row>
    <row r="36" spans="2:18" ht="15" customHeight="1">
      <c r="B36" s="85"/>
      <c r="H36" s="99"/>
      <c r="I36" s="100"/>
      <c r="J36" s="100"/>
      <c r="K36" s="100"/>
      <c r="L36" s="100"/>
      <c r="M36" s="100"/>
      <c r="N36" s="101"/>
      <c r="O36" s="90"/>
      <c r="R36" s="84"/>
    </row>
    <row r="37" spans="2:18" ht="15" customHeight="1">
      <c r="B37" s="85"/>
      <c r="G37" s="84"/>
      <c r="O37" s="90"/>
      <c r="R37" s="84"/>
    </row>
    <row r="38" spans="2:18" ht="15" customHeight="1">
      <c r="B38" s="85"/>
      <c r="H38" s="81"/>
      <c r="I38" s="82"/>
      <c r="J38" s="82"/>
      <c r="K38" s="82"/>
      <c r="L38" s="82"/>
      <c r="M38" s="82"/>
      <c r="N38" s="83"/>
      <c r="O38" s="90"/>
      <c r="R38" s="84"/>
    </row>
    <row r="39" spans="2:18" ht="15" customHeight="1">
      <c r="B39" s="85"/>
      <c r="H39" s="85"/>
      <c r="I39" s="301" t="s">
        <v>369</v>
      </c>
      <c r="J39" s="301"/>
      <c r="K39" s="301"/>
      <c r="L39" s="301"/>
      <c r="M39" s="301"/>
      <c r="N39" s="90"/>
      <c r="O39" s="90"/>
    </row>
    <row r="40" spans="2:18" ht="15" customHeight="1">
      <c r="B40" s="85"/>
      <c r="H40" s="85"/>
      <c r="I40" s="302"/>
      <c r="J40" s="302"/>
      <c r="K40" s="302"/>
      <c r="L40" s="302"/>
      <c r="M40" s="84"/>
      <c r="N40" s="311"/>
      <c r="O40" s="90"/>
    </row>
    <row r="41" spans="2:18" ht="15" customHeight="1">
      <c r="B41" s="85"/>
      <c r="H41" s="85"/>
      <c r="I41" s="307"/>
      <c r="J41" s="308"/>
      <c r="K41" s="308"/>
      <c r="L41" s="308"/>
      <c r="M41" s="309"/>
      <c r="N41" s="90"/>
      <c r="O41" s="90"/>
    </row>
    <row r="42" spans="2:18">
      <c r="B42" s="85"/>
      <c r="H42" s="85"/>
      <c r="I42" s="310"/>
      <c r="J42" s="302"/>
      <c r="K42" s="302"/>
      <c r="L42" s="302"/>
      <c r="M42" s="311"/>
      <c r="N42" s="90"/>
      <c r="O42" s="90"/>
    </row>
    <row r="43" spans="2:18">
      <c r="B43" s="85"/>
      <c r="H43" s="85"/>
      <c r="I43" s="310"/>
      <c r="J43" s="302"/>
      <c r="K43" s="302"/>
      <c r="L43" s="302"/>
      <c r="M43" s="311"/>
      <c r="N43" s="90"/>
      <c r="O43" s="90"/>
    </row>
    <row r="44" spans="2:18">
      <c r="B44" s="85"/>
      <c r="H44" s="85"/>
      <c r="I44" s="312"/>
      <c r="J44" s="313"/>
      <c r="K44" s="313"/>
      <c r="L44" s="313"/>
      <c r="M44" s="314"/>
      <c r="N44" s="90"/>
      <c r="O44" s="90"/>
    </row>
    <row r="45" spans="2:18">
      <c r="B45" s="85"/>
      <c r="H45" s="99"/>
      <c r="I45" s="100"/>
      <c r="J45" s="100"/>
      <c r="K45" s="100"/>
      <c r="L45" s="100"/>
      <c r="M45" s="100"/>
      <c r="N45" s="101"/>
      <c r="O45" s="90"/>
    </row>
    <row r="46" spans="2:18">
      <c r="B46" s="85"/>
      <c r="O46" s="90"/>
    </row>
    <row r="47" spans="2:18" ht="15" customHeight="1">
      <c r="B47" s="85"/>
      <c r="C47" s="410" t="s">
        <v>222</v>
      </c>
      <c r="D47" s="410"/>
      <c r="E47" s="410"/>
      <c r="F47" s="410"/>
      <c r="G47" s="410" t="s">
        <v>221</v>
      </c>
      <c r="H47" s="410"/>
      <c r="I47" s="410"/>
      <c r="J47" s="280" t="s">
        <v>223</v>
      </c>
      <c r="K47" s="280" t="s">
        <v>224</v>
      </c>
      <c r="L47" s="280" t="s">
        <v>225</v>
      </c>
      <c r="M47" s="280" t="s">
        <v>226</v>
      </c>
      <c r="O47" s="90"/>
    </row>
    <row r="48" spans="2:18">
      <c r="B48" s="85"/>
      <c r="C48" s="448"/>
      <c r="D48" s="448"/>
      <c r="E48" s="448"/>
      <c r="F48" s="448"/>
      <c r="G48" s="448"/>
      <c r="H48" s="448"/>
      <c r="I48" s="448"/>
      <c r="J48" s="296"/>
      <c r="K48" s="297"/>
      <c r="L48" s="298"/>
      <c r="M48" s="298"/>
      <c r="O48" s="90"/>
    </row>
    <row r="49" spans="2:15">
      <c r="B49" s="85"/>
      <c r="C49" s="448"/>
      <c r="D49" s="448"/>
      <c r="E49" s="448"/>
      <c r="F49" s="448"/>
      <c r="G49" s="448"/>
      <c r="H49" s="448"/>
      <c r="I49" s="448"/>
      <c r="J49" s="296"/>
      <c r="K49" s="297"/>
      <c r="L49" s="298"/>
      <c r="M49" s="298"/>
      <c r="O49" s="90"/>
    </row>
    <row r="50" spans="2:15">
      <c r="B50" s="99"/>
      <c r="C50" s="100"/>
      <c r="D50" s="100"/>
      <c r="E50" s="100"/>
      <c r="F50" s="100"/>
      <c r="G50" s="100"/>
      <c r="H50" s="100"/>
      <c r="I50" s="100"/>
      <c r="J50" s="84"/>
      <c r="K50" s="84"/>
      <c r="L50" s="84"/>
      <c r="M50" s="84"/>
      <c r="N50" s="84"/>
      <c r="O50" s="101"/>
    </row>
    <row r="51" spans="2:15">
      <c r="J51" s="82"/>
      <c r="K51" s="82"/>
      <c r="L51" s="82"/>
      <c r="M51" s="82"/>
      <c r="N51" s="82"/>
    </row>
  </sheetData>
  <sheetProtection selectLockedCells="1" selectUnlockedCells="1"/>
  <mergeCells count="21">
    <mergeCell ref="I24:J24"/>
    <mergeCell ref="I20:M20"/>
    <mergeCell ref="I22:L22"/>
    <mergeCell ref="I25:J25"/>
    <mergeCell ref="C49:F49"/>
    <mergeCell ref="G49:I49"/>
    <mergeCell ref="I31:L31"/>
    <mergeCell ref="D20:E20"/>
    <mergeCell ref="C47:F47"/>
    <mergeCell ref="G47:I47"/>
    <mergeCell ref="C48:F48"/>
    <mergeCell ref="G48:I48"/>
    <mergeCell ref="I27:K27"/>
    <mergeCell ref="I14:J14"/>
    <mergeCell ref="I16:K16"/>
    <mergeCell ref="C3:F6"/>
    <mergeCell ref="G3:N6"/>
    <mergeCell ref="D9:E9"/>
    <mergeCell ref="I9:M9"/>
    <mergeCell ref="I11:L11"/>
    <mergeCell ref="I13:J13"/>
  </mergeCell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9018F-9040-480B-8E57-350503146A91}">
  <dimension ref="B2:K100"/>
  <sheetViews>
    <sheetView showGridLines="0" workbookViewId="0"/>
  </sheetViews>
  <sheetFormatPr baseColWidth="10" defaultColWidth="11.42578125" defaultRowHeight="15"/>
  <cols>
    <col min="1" max="1" width="2.85546875" customWidth="1"/>
    <col min="2" max="2" width="14.42578125" bestFit="1" customWidth="1"/>
    <col min="3" max="3" width="11.140625" bestFit="1" customWidth="1"/>
    <col min="4" max="4" width="49.140625" bestFit="1" customWidth="1"/>
    <col min="5" max="8" width="15.7109375" customWidth="1"/>
    <col min="9" max="9" width="12.28515625" bestFit="1" customWidth="1"/>
  </cols>
  <sheetData>
    <row r="2" spans="2:8" ht="30" customHeight="1">
      <c r="B2" s="450" t="s">
        <v>393</v>
      </c>
      <c r="C2" s="451"/>
      <c r="D2" s="451"/>
      <c r="E2" s="451"/>
      <c r="F2" s="451"/>
      <c r="G2" s="451"/>
      <c r="H2" s="452"/>
    </row>
    <row r="3" spans="2:8" ht="30" customHeight="1">
      <c r="B3" s="453" t="s">
        <v>497</v>
      </c>
      <c r="C3" s="454"/>
      <c r="D3" s="454"/>
      <c r="E3" s="454"/>
      <c r="F3" s="454"/>
      <c r="G3" s="454"/>
      <c r="H3" s="455"/>
    </row>
    <row r="4" spans="2:8" s="456" customFormat="1" ht="33" customHeight="1">
      <c r="B4" s="462" t="s">
        <v>394</v>
      </c>
      <c r="C4" s="462" t="s">
        <v>395</v>
      </c>
      <c r="D4" s="462" t="s">
        <v>396</v>
      </c>
      <c r="E4" s="462" t="s">
        <v>397</v>
      </c>
      <c r="F4" s="462" t="s">
        <v>398</v>
      </c>
      <c r="G4" s="462" t="s">
        <v>399</v>
      </c>
      <c r="H4" s="462" t="s">
        <v>400</v>
      </c>
    </row>
    <row r="5" spans="2:8" ht="15" customHeight="1">
      <c r="B5" s="457">
        <v>1</v>
      </c>
      <c r="C5" s="457">
        <v>2020</v>
      </c>
      <c r="D5" s="458" t="s">
        <v>401</v>
      </c>
      <c r="E5" s="459">
        <v>86900000</v>
      </c>
      <c r="F5" s="459">
        <v>7900000</v>
      </c>
      <c r="G5" s="460">
        <v>43855</v>
      </c>
      <c r="H5" s="460">
        <v>44189</v>
      </c>
    </row>
    <row r="6" spans="2:8" ht="15" customHeight="1">
      <c r="B6" s="457">
        <v>105</v>
      </c>
      <c r="C6" s="457">
        <v>2020</v>
      </c>
      <c r="D6" s="458" t="s">
        <v>402</v>
      </c>
      <c r="E6" s="459">
        <v>51660000</v>
      </c>
      <c r="F6" s="459">
        <v>7380000</v>
      </c>
      <c r="G6" s="460">
        <v>43951</v>
      </c>
      <c r="H6" s="460">
        <v>44164</v>
      </c>
    </row>
    <row r="7" spans="2:8" ht="15" customHeight="1">
      <c r="B7" s="457">
        <v>106</v>
      </c>
      <c r="C7" s="457">
        <v>2020</v>
      </c>
      <c r="D7" s="458" t="s">
        <v>403</v>
      </c>
      <c r="E7" s="459">
        <v>51660000</v>
      </c>
      <c r="F7" s="459">
        <v>7380000</v>
      </c>
      <c r="G7" s="460">
        <v>43955</v>
      </c>
      <c r="H7" s="460">
        <v>44168</v>
      </c>
    </row>
    <row r="8" spans="2:8" ht="15" customHeight="1">
      <c r="B8" s="457">
        <v>115</v>
      </c>
      <c r="C8" s="457">
        <v>2020</v>
      </c>
      <c r="D8" s="458" t="s">
        <v>404</v>
      </c>
      <c r="E8" s="459">
        <v>49469000</v>
      </c>
      <c r="F8" s="459">
        <v>7067000</v>
      </c>
      <c r="G8" s="460">
        <v>43983</v>
      </c>
      <c r="H8" s="460">
        <v>44196</v>
      </c>
    </row>
    <row r="9" spans="2:8" ht="15" customHeight="1">
      <c r="B9" s="457">
        <v>116</v>
      </c>
      <c r="C9" s="457">
        <v>2020</v>
      </c>
      <c r="D9" s="458" t="s">
        <v>405</v>
      </c>
      <c r="E9" s="459">
        <v>43260000</v>
      </c>
      <c r="F9" s="459">
        <v>6180000</v>
      </c>
      <c r="G9" s="460">
        <v>43983</v>
      </c>
      <c r="H9" s="460">
        <v>44196</v>
      </c>
    </row>
    <row r="10" spans="2:8" ht="15" customHeight="1">
      <c r="B10" s="457">
        <v>117</v>
      </c>
      <c r="C10" s="457">
        <v>2020</v>
      </c>
      <c r="D10" s="458" t="s">
        <v>406</v>
      </c>
      <c r="E10" s="459">
        <v>22127000</v>
      </c>
      <c r="F10" s="459">
        <v>3161000</v>
      </c>
      <c r="G10" s="460">
        <v>43983</v>
      </c>
      <c r="H10" s="460">
        <v>44196</v>
      </c>
    </row>
    <row r="11" spans="2:8" ht="15" customHeight="1">
      <c r="B11" s="457">
        <v>118</v>
      </c>
      <c r="C11" s="457">
        <v>2020</v>
      </c>
      <c r="D11" s="458" t="s">
        <v>407</v>
      </c>
      <c r="E11" s="459">
        <v>17815000</v>
      </c>
      <c r="F11" s="459">
        <v>2545000</v>
      </c>
      <c r="G11" s="460">
        <v>43983</v>
      </c>
      <c r="H11" s="460">
        <v>44196</v>
      </c>
    </row>
    <row r="12" spans="2:8" ht="15" customHeight="1">
      <c r="B12" s="457">
        <v>119</v>
      </c>
      <c r="C12" s="457">
        <v>2020</v>
      </c>
      <c r="D12" s="458" t="s">
        <v>408</v>
      </c>
      <c r="E12" s="459">
        <v>34680000</v>
      </c>
      <c r="F12" s="459">
        <v>5780000</v>
      </c>
      <c r="G12" s="460">
        <v>44014</v>
      </c>
      <c r="H12" s="460">
        <v>44196</v>
      </c>
    </row>
    <row r="13" spans="2:8" ht="15" customHeight="1">
      <c r="B13" s="457">
        <v>120</v>
      </c>
      <c r="C13" s="457">
        <v>2020</v>
      </c>
      <c r="D13" s="458" t="s">
        <v>409</v>
      </c>
      <c r="E13" s="459">
        <v>34680000</v>
      </c>
      <c r="F13" s="459">
        <v>5780000</v>
      </c>
      <c r="G13" s="460">
        <v>43990</v>
      </c>
      <c r="H13" s="460">
        <v>44172</v>
      </c>
    </row>
    <row r="14" spans="2:8" ht="15" customHeight="1">
      <c r="B14" s="457">
        <v>121</v>
      </c>
      <c r="C14" s="457">
        <v>2020</v>
      </c>
      <c r="D14" s="458" t="s">
        <v>410</v>
      </c>
      <c r="E14" s="459">
        <v>28800000</v>
      </c>
      <c r="F14" s="459">
        <v>4800000</v>
      </c>
      <c r="G14" s="460">
        <v>44005</v>
      </c>
      <c r="H14" s="460">
        <v>44187</v>
      </c>
    </row>
    <row r="15" spans="2:8" ht="15" customHeight="1">
      <c r="B15" s="457">
        <v>122</v>
      </c>
      <c r="C15" s="457">
        <v>2020</v>
      </c>
      <c r="D15" s="458" t="s">
        <v>411</v>
      </c>
      <c r="E15" s="459">
        <v>23178000</v>
      </c>
      <c r="F15" s="459">
        <v>3863000</v>
      </c>
      <c r="G15" s="460">
        <v>44007</v>
      </c>
      <c r="H15" s="460">
        <v>44189</v>
      </c>
    </row>
    <row r="16" spans="2:8" ht="15" customHeight="1">
      <c r="B16" s="457">
        <v>123</v>
      </c>
      <c r="C16" s="457">
        <v>2020</v>
      </c>
      <c r="D16" s="458" t="s">
        <v>412</v>
      </c>
      <c r="E16" s="459">
        <v>27600000</v>
      </c>
      <c r="F16" s="459">
        <v>4600000</v>
      </c>
      <c r="G16" s="460">
        <v>43986</v>
      </c>
      <c r="H16" s="460">
        <v>44168</v>
      </c>
    </row>
    <row r="17" spans="2:11" ht="15" customHeight="1">
      <c r="B17" s="457">
        <v>125</v>
      </c>
      <c r="C17" s="457">
        <v>2020</v>
      </c>
      <c r="D17" s="458" t="s">
        <v>413</v>
      </c>
      <c r="E17" s="459">
        <v>34680000</v>
      </c>
      <c r="F17" s="459">
        <v>5780000</v>
      </c>
      <c r="G17" s="460">
        <v>44006</v>
      </c>
      <c r="H17" s="460">
        <v>44188</v>
      </c>
      <c r="I17" s="461"/>
      <c r="J17" s="461"/>
      <c r="K17" s="461"/>
    </row>
    <row r="18" spans="2:11" ht="15" customHeight="1">
      <c r="B18" s="457">
        <v>126</v>
      </c>
      <c r="C18" s="457">
        <v>2020</v>
      </c>
      <c r="D18" s="458" t="s">
        <v>414</v>
      </c>
      <c r="E18" s="459">
        <v>30000000</v>
      </c>
      <c r="F18" s="459">
        <v>5000000</v>
      </c>
      <c r="G18" s="460">
        <v>43990</v>
      </c>
      <c r="H18" s="460">
        <v>44172</v>
      </c>
    </row>
    <row r="19" spans="2:11" ht="15" customHeight="1">
      <c r="B19" s="457">
        <v>127</v>
      </c>
      <c r="C19" s="457">
        <v>2020</v>
      </c>
      <c r="D19" s="458" t="s">
        <v>415</v>
      </c>
      <c r="E19" s="459">
        <v>45240000</v>
      </c>
      <c r="F19" s="459">
        <v>7540000</v>
      </c>
      <c r="G19" s="460">
        <v>43994</v>
      </c>
      <c r="H19" s="460">
        <v>44176</v>
      </c>
    </row>
    <row r="20" spans="2:11" ht="15" customHeight="1">
      <c r="B20" s="457">
        <v>130</v>
      </c>
      <c r="C20" s="457">
        <v>2020</v>
      </c>
      <c r="D20" s="458" t="s">
        <v>416</v>
      </c>
      <c r="E20" s="459">
        <v>29970000</v>
      </c>
      <c r="F20" s="459">
        <v>4995000</v>
      </c>
      <c r="G20" s="460">
        <v>44007</v>
      </c>
      <c r="H20" s="460">
        <v>44189</v>
      </c>
    </row>
    <row r="21" spans="2:11" ht="15" customHeight="1">
      <c r="B21" s="457">
        <v>131</v>
      </c>
      <c r="C21" s="457">
        <v>2020</v>
      </c>
      <c r="D21" s="458" t="s">
        <v>417</v>
      </c>
      <c r="E21" s="459">
        <v>23178000</v>
      </c>
      <c r="F21" s="459">
        <v>3863000</v>
      </c>
      <c r="G21" s="460">
        <v>44013</v>
      </c>
      <c r="H21" s="460">
        <v>44196</v>
      </c>
    </row>
    <row r="22" spans="2:11" ht="15" customHeight="1">
      <c r="B22" s="457">
        <v>132</v>
      </c>
      <c r="C22" s="457">
        <v>2020</v>
      </c>
      <c r="D22" s="458" t="s">
        <v>418</v>
      </c>
      <c r="E22" s="459">
        <v>18966000</v>
      </c>
      <c r="F22" s="459">
        <v>3161000</v>
      </c>
      <c r="G22" s="460">
        <v>44005</v>
      </c>
      <c r="H22" s="460">
        <v>44187</v>
      </c>
    </row>
    <row r="23" spans="2:11" ht="15" customHeight="1">
      <c r="B23" s="457">
        <v>133</v>
      </c>
      <c r="C23" s="457">
        <v>2020</v>
      </c>
      <c r="D23" s="458" t="s">
        <v>419</v>
      </c>
      <c r="E23" s="459">
        <v>34680000</v>
      </c>
      <c r="F23" s="459">
        <v>5780000</v>
      </c>
      <c r="G23" s="460">
        <v>44001</v>
      </c>
      <c r="H23" s="460">
        <v>44183</v>
      </c>
    </row>
    <row r="24" spans="2:11" ht="15" customHeight="1">
      <c r="B24" s="457">
        <v>134</v>
      </c>
      <c r="C24" s="457">
        <v>2020</v>
      </c>
      <c r="D24" s="458" t="s">
        <v>420</v>
      </c>
      <c r="E24" s="459">
        <v>27600000</v>
      </c>
      <c r="F24" s="459">
        <v>4600000</v>
      </c>
      <c r="G24" s="460">
        <v>44001</v>
      </c>
      <c r="H24" s="460">
        <v>44183</v>
      </c>
    </row>
    <row r="25" spans="2:11" ht="15" customHeight="1">
      <c r="B25" s="457">
        <v>135</v>
      </c>
      <c r="C25" s="457">
        <v>2020</v>
      </c>
      <c r="D25" s="458" t="s">
        <v>421</v>
      </c>
      <c r="E25" s="459">
        <v>27600000</v>
      </c>
      <c r="F25" s="459">
        <v>4600000</v>
      </c>
      <c r="G25" s="460">
        <v>44001</v>
      </c>
      <c r="H25" s="460">
        <v>44183</v>
      </c>
    </row>
    <row r="26" spans="2:11" ht="15" customHeight="1">
      <c r="B26" s="457">
        <v>137</v>
      </c>
      <c r="C26" s="457">
        <v>2020</v>
      </c>
      <c r="D26" s="458" t="s">
        <v>422</v>
      </c>
      <c r="E26" s="459">
        <v>30000000</v>
      </c>
      <c r="F26" s="459">
        <v>5000000</v>
      </c>
      <c r="G26" s="460">
        <v>44008</v>
      </c>
      <c r="H26" s="460">
        <v>44190</v>
      </c>
    </row>
    <row r="27" spans="2:11" ht="15" customHeight="1">
      <c r="B27" s="457">
        <v>138</v>
      </c>
      <c r="C27" s="457">
        <v>2020</v>
      </c>
      <c r="D27" s="458" t="s">
        <v>423</v>
      </c>
      <c r="E27" s="459">
        <v>36000000</v>
      </c>
      <c r="F27" s="459">
        <v>6000000</v>
      </c>
      <c r="G27" s="460">
        <v>44014</v>
      </c>
      <c r="H27" s="460">
        <v>44196</v>
      </c>
    </row>
    <row r="28" spans="2:11" ht="15" customHeight="1">
      <c r="B28" s="457">
        <v>139</v>
      </c>
      <c r="C28" s="457">
        <v>2020</v>
      </c>
      <c r="D28" s="458" t="s">
        <v>424</v>
      </c>
      <c r="E28" s="459">
        <v>23178000</v>
      </c>
      <c r="F28" s="459">
        <v>3863000</v>
      </c>
      <c r="G28" s="460">
        <v>44013</v>
      </c>
      <c r="H28" s="460">
        <v>44196</v>
      </c>
    </row>
    <row r="29" spans="2:11" ht="15" customHeight="1">
      <c r="B29" s="457">
        <v>140</v>
      </c>
      <c r="C29" s="457">
        <v>2020</v>
      </c>
      <c r="D29" s="458" t="s">
        <v>425</v>
      </c>
      <c r="E29" s="459">
        <v>27600000</v>
      </c>
      <c r="F29" s="459">
        <v>4600000</v>
      </c>
      <c r="G29" s="460">
        <v>44018</v>
      </c>
      <c r="H29" s="460">
        <v>44196</v>
      </c>
    </row>
    <row r="30" spans="2:11" ht="15" customHeight="1">
      <c r="B30" s="457">
        <v>141</v>
      </c>
      <c r="C30" s="457">
        <v>2020</v>
      </c>
      <c r="D30" s="458" t="s">
        <v>426</v>
      </c>
      <c r="E30" s="459">
        <v>29960000</v>
      </c>
      <c r="F30" s="459">
        <v>4993333.333333333</v>
      </c>
      <c r="G30" s="460">
        <v>44015</v>
      </c>
      <c r="H30" s="460">
        <v>44196</v>
      </c>
    </row>
    <row r="31" spans="2:11" ht="15" customHeight="1">
      <c r="B31" s="457">
        <v>142</v>
      </c>
      <c r="C31" s="457">
        <v>2020</v>
      </c>
      <c r="D31" s="458" t="s">
        <v>427</v>
      </c>
      <c r="E31" s="459">
        <v>24600000</v>
      </c>
      <c r="F31" s="459">
        <v>4100000</v>
      </c>
      <c r="G31" s="460">
        <v>44015</v>
      </c>
      <c r="H31" s="460">
        <v>44196</v>
      </c>
    </row>
    <row r="32" spans="2:11" ht="15" customHeight="1">
      <c r="B32" s="457">
        <v>143</v>
      </c>
      <c r="C32" s="457">
        <v>2020</v>
      </c>
      <c r="D32" s="458" t="s">
        <v>428</v>
      </c>
      <c r="E32" s="459">
        <v>25200000</v>
      </c>
      <c r="F32" s="459">
        <v>4200000</v>
      </c>
      <c r="G32" s="460">
        <v>44014</v>
      </c>
      <c r="H32" s="460">
        <v>44196</v>
      </c>
    </row>
    <row r="33" spans="2:8" ht="15" customHeight="1">
      <c r="B33" s="457">
        <v>144</v>
      </c>
      <c r="C33" s="457">
        <v>2020</v>
      </c>
      <c r="D33" s="458" t="s">
        <v>429</v>
      </c>
      <c r="E33" s="459">
        <v>24600000</v>
      </c>
      <c r="F33" s="459">
        <v>4100000</v>
      </c>
      <c r="G33" s="460">
        <v>44015</v>
      </c>
      <c r="H33" s="460">
        <v>44196</v>
      </c>
    </row>
    <row r="34" spans="2:8" ht="15" customHeight="1">
      <c r="B34" s="457">
        <v>145</v>
      </c>
      <c r="C34" s="457">
        <v>2020</v>
      </c>
      <c r="D34" s="458" t="s">
        <v>430</v>
      </c>
      <c r="E34" s="459">
        <v>27600000</v>
      </c>
      <c r="F34" s="459">
        <v>4600000</v>
      </c>
      <c r="G34" s="460">
        <v>44015</v>
      </c>
      <c r="H34" s="460">
        <v>44196</v>
      </c>
    </row>
    <row r="35" spans="2:8" ht="15" customHeight="1">
      <c r="B35" s="457">
        <v>146</v>
      </c>
      <c r="C35" s="457">
        <v>2020</v>
      </c>
      <c r="D35" s="458" t="s">
        <v>431</v>
      </c>
      <c r="E35" s="459">
        <v>24000000</v>
      </c>
      <c r="F35" s="459">
        <v>4000000</v>
      </c>
      <c r="G35" s="460">
        <v>44018</v>
      </c>
      <c r="H35" s="460">
        <v>44196</v>
      </c>
    </row>
    <row r="36" spans="2:8" ht="15" customHeight="1">
      <c r="B36" s="457">
        <v>147</v>
      </c>
      <c r="C36" s="457">
        <v>2020</v>
      </c>
      <c r="D36" s="458" t="s">
        <v>432</v>
      </c>
      <c r="E36" s="459">
        <v>27600000</v>
      </c>
      <c r="F36" s="459">
        <v>4600000</v>
      </c>
      <c r="G36" s="460">
        <v>44019</v>
      </c>
      <c r="H36" s="460">
        <v>44196</v>
      </c>
    </row>
    <row r="37" spans="2:8" ht="15" customHeight="1">
      <c r="B37" s="457">
        <v>148</v>
      </c>
      <c r="C37" s="457">
        <v>2020</v>
      </c>
      <c r="D37" s="458" t="s">
        <v>433</v>
      </c>
      <c r="E37" s="459">
        <v>27600000</v>
      </c>
      <c r="F37" s="459">
        <v>4600000</v>
      </c>
      <c r="G37" s="460">
        <v>44015</v>
      </c>
      <c r="H37" s="460">
        <v>44196</v>
      </c>
    </row>
    <row r="38" spans="2:8" ht="15" customHeight="1">
      <c r="B38" s="457">
        <v>149</v>
      </c>
      <c r="C38" s="457">
        <v>2020</v>
      </c>
      <c r="D38" s="458" t="s">
        <v>434</v>
      </c>
      <c r="E38" s="459">
        <v>27600000</v>
      </c>
      <c r="F38" s="459">
        <v>4600000</v>
      </c>
      <c r="G38" s="460">
        <v>44018</v>
      </c>
      <c r="H38" s="460">
        <v>44196</v>
      </c>
    </row>
    <row r="39" spans="2:8" ht="15" customHeight="1">
      <c r="B39" s="457">
        <v>150</v>
      </c>
      <c r="C39" s="457">
        <v>2020</v>
      </c>
      <c r="D39" s="458" t="s">
        <v>435</v>
      </c>
      <c r="E39" s="459">
        <v>13170000</v>
      </c>
      <c r="F39" s="459">
        <v>2195000</v>
      </c>
      <c r="G39" s="460">
        <v>44019</v>
      </c>
      <c r="H39" s="460">
        <v>44196</v>
      </c>
    </row>
    <row r="40" spans="2:8" ht="15" customHeight="1">
      <c r="B40" s="457">
        <v>151</v>
      </c>
      <c r="C40" s="457">
        <v>2020</v>
      </c>
      <c r="D40" s="458" t="s">
        <v>436</v>
      </c>
      <c r="E40" s="459">
        <v>18966000</v>
      </c>
      <c r="F40" s="459">
        <v>3161000</v>
      </c>
      <c r="G40" s="460">
        <v>44021</v>
      </c>
      <c r="H40" s="460">
        <v>44196</v>
      </c>
    </row>
    <row r="41" spans="2:8" ht="15" customHeight="1">
      <c r="B41" s="457">
        <v>152</v>
      </c>
      <c r="C41" s="457">
        <v>2020</v>
      </c>
      <c r="D41" s="458" t="s">
        <v>437</v>
      </c>
      <c r="E41" s="459">
        <v>27600000</v>
      </c>
      <c r="F41" s="459">
        <v>4600000</v>
      </c>
      <c r="G41" s="460">
        <v>44026</v>
      </c>
      <c r="H41" s="460">
        <v>44196</v>
      </c>
    </row>
    <row r="42" spans="2:8" ht="15" customHeight="1">
      <c r="B42" s="457">
        <v>153</v>
      </c>
      <c r="C42" s="457">
        <v>2020</v>
      </c>
      <c r="D42" s="458" t="s">
        <v>438</v>
      </c>
      <c r="E42" s="459">
        <v>27600000</v>
      </c>
      <c r="F42" s="459">
        <v>4600000</v>
      </c>
      <c r="G42" s="460">
        <v>44022</v>
      </c>
      <c r="H42" s="460">
        <v>44196</v>
      </c>
    </row>
    <row r="43" spans="2:8" ht="15" customHeight="1">
      <c r="B43" s="457">
        <v>154</v>
      </c>
      <c r="C43" s="457">
        <v>2020</v>
      </c>
      <c r="D43" s="458" t="s">
        <v>439</v>
      </c>
      <c r="E43" s="459">
        <v>27600000</v>
      </c>
      <c r="F43" s="459">
        <v>4600000</v>
      </c>
      <c r="G43" s="460">
        <v>44021</v>
      </c>
      <c r="H43" s="460">
        <v>44196</v>
      </c>
    </row>
    <row r="44" spans="2:8" ht="15" customHeight="1">
      <c r="B44" s="457">
        <v>155</v>
      </c>
      <c r="C44" s="457">
        <v>2020</v>
      </c>
      <c r="D44" s="458" t="s">
        <v>440</v>
      </c>
      <c r="E44" s="459">
        <v>13170000</v>
      </c>
      <c r="F44" s="459">
        <v>2195000</v>
      </c>
      <c r="G44" s="460">
        <v>44021</v>
      </c>
      <c r="H44" s="460">
        <v>44196</v>
      </c>
    </row>
    <row r="45" spans="2:8" ht="15" customHeight="1">
      <c r="B45" s="457">
        <v>156</v>
      </c>
      <c r="C45" s="457">
        <v>2020</v>
      </c>
      <c r="D45" s="458" t="s">
        <v>441</v>
      </c>
      <c r="E45" s="459">
        <v>34680000</v>
      </c>
      <c r="F45" s="459">
        <v>5780000</v>
      </c>
      <c r="G45" s="460">
        <v>44021</v>
      </c>
      <c r="H45" s="460">
        <v>44196</v>
      </c>
    </row>
    <row r="46" spans="2:8" ht="15" customHeight="1">
      <c r="B46" s="457">
        <v>158</v>
      </c>
      <c r="C46" s="457">
        <v>2020</v>
      </c>
      <c r="D46" s="458" t="s">
        <v>442</v>
      </c>
      <c r="E46" s="459">
        <v>23178000</v>
      </c>
      <c r="F46" s="459">
        <v>3863000</v>
      </c>
      <c r="G46" s="460">
        <v>44025</v>
      </c>
      <c r="H46" s="460">
        <v>44196</v>
      </c>
    </row>
    <row r="47" spans="2:8" ht="15" customHeight="1">
      <c r="B47" s="457">
        <v>160</v>
      </c>
      <c r="C47" s="457">
        <v>2020</v>
      </c>
      <c r="D47" s="458" t="s">
        <v>443</v>
      </c>
      <c r="E47" s="459">
        <v>27600000</v>
      </c>
      <c r="F47" s="459">
        <v>4600000</v>
      </c>
      <c r="G47" s="460">
        <v>44026</v>
      </c>
      <c r="H47" s="460">
        <v>44196</v>
      </c>
    </row>
    <row r="48" spans="2:8" ht="15" customHeight="1">
      <c r="B48" s="457">
        <v>161</v>
      </c>
      <c r="C48" s="457">
        <v>2020</v>
      </c>
      <c r="D48" s="458" t="s">
        <v>444</v>
      </c>
      <c r="E48" s="459">
        <v>27600000</v>
      </c>
      <c r="F48" s="459">
        <v>4600000</v>
      </c>
      <c r="G48" s="460">
        <v>44021</v>
      </c>
      <c r="H48" s="460">
        <v>44196</v>
      </c>
    </row>
    <row r="49" spans="2:8" ht="15" customHeight="1">
      <c r="B49" s="457">
        <v>162</v>
      </c>
      <c r="C49" s="457">
        <v>2020</v>
      </c>
      <c r="D49" s="458" t="s">
        <v>445</v>
      </c>
      <c r="E49" s="459">
        <v>13170000</v>
      </c>
      <c r="F49" s="459">
        <v>2195000</v>
      </c>
      <c r="G49" s="460">
        <v>44026</v>
      </c>
      <c r="H49" s="460">
        <v>44196</v>
      </c>
    </row>
    <row r="50" spans="2:8" ht="15" customHeight="1">
      <c r="B50" s="457">
        <v>163</v>
      </c>
      <c r="C50" s="457">
        <v>2020</v>
      </c>
      <c r="D50" s="458" t="s">
        <v>446</v>
      </c>
      <c r="E50" s="459">
        <v>9744000</v>
      </c>
      <c r="F50" s="459">
        <v>1624000</v>
      </c>
      <c r="G50" s="460">
        <v>44029</v>
      </c>
      <c r="H50" s="460">
        <v>44196</v>
      </c>
    </row>
    <row r="51" spans="2:8" ht="15" customHeight="1">
      <c r="B51" s="457">
        <v>164</v>
      </c>
      <c r="C51" s="457">
        <v>2020</v>
      </c>
      <c r="D51" s="458" t="s">
        <v>447</v>
      </c>
      <c r="E51" s="459">
        <v>13170000</v>
      </c>
      <c r="F51" s="459">
        <v>2195000</v>
      </c>
      <c r="G51" s="460">
        <v>44025</v>
      </c>
      <c r="H51" s="460">
        <v>44196</v>
      </c>
    </row>
    <row r="52" spans="2:8" ht="15" customHeight="1">
      <c r="B52" s="457">
        <v>165</v>
      </c>
      <c r="C52" s="457">
        <v>2020</v>
      </c>
      <c r="D52" s="458" t="s">
        <v>448</v>
      </c>
      <c r="E52" s="459">
        <v>32340000</v>
      </c>
      <c r="F52" s="459">
        <v>5390000</v>
      </c>
      <c r="G52" s="460">
        <v>44026</v>
      </c>
      <c r="H52" s="460">
        <v>44196</v>
      </c>
    </row>
    <row r="53" spans="2:8" ht="15" customHeight="1">
      <c r="B53" s="457">
        <v>166</v>
      </c>
      <c r="C53" s="457">
        <v>2020</v>
      </c>
      <c r="D53" s="458" t="s">
        <v>449</v>
      </c>
      <c r="E53" s="459">
        <v>29970000</v>
      </c>
      <c r="F53" s="459">
        <v>4995000</v>
      </c>
      <c r="G53" s="460">
        <v>44026</v>
      </c>
      <c r="H53" s="460">
        <v>44196</v>
      </c>
    </row>
    <row r="54" spans="2:8" ht="15" customHeight="1">
      <c r="B54" s="457">
        <v>167</v>
      </c>
      <c r="C54" s="457">
        <v>2020</v>
      </c>
      <c r="D54" s="458" t="s">
        <v>450</v>
      </c>
      <c r="E54" s="459">
        <v>13170000</v>
      </c>
      <c r="F54" s="459">
        <v>2195000</v>
      </c>
      <c r="G54" s="460">
        <v>44026</v>
      </c>
      <c r="H54" s="460">
        <v>44196</v>
      </c>
    </row>
    <row r="55" spans="2:8" ht="15" customHeight="1">
      <c r="B55" s="457">
        <v>168</v>
      </c>
      <c r="C55" s="457">
        <v>2020</v>
      </c>
      <c r="D55" s="458" t="s">
        <v>451</v>
      </c>
      <c r="E55" s="459">
        <v>24540000</v>
      </c>
      <c r="F55" s="459">
        <v>4090000</v>
      </c>
      <c r="G55" s="460">
        <v>44027</v>
      </c>
      <c r="H55" s="460">
        <v>44196</v>
      </c>
    </row>
    <row r="56" spans="2:8" ht="15" customHeight="1">
      <c r="B56" s="457">
        <v>169</v>
      </c>
      <c r="C56" s="457">
        <v>2020</v>
      </c>
      <c r="D56" s="458" t="s">
        <v>452</v>
      </c>
      <c r="E56" s="459">
        <v>27600000</v>
      </c>
      <c r="F56" s="459">
        <v>4600000</v>
      </c>
      <c r="G56" s="460">
        <v>44029</v>
      </c>
      <c r="H56" s="460">
        <v>44196</v>
      </c>
    </row>
    <row r="57" spans="2:8" ht="15" customHeight="1">
      <c r="B57" s="457">
        <v>170</v>
      </c>
      <c r="C57" s="457">
        <v>2020</v>
      </c>
      <c r="D57" s="458" t="s">
        <v>453</v>
      </c>
      <c r="E57" s="459">
        <v>27600000</v>
      </c>
      <c r="F57" s="459">
        <v>4600000</v>
      </c>
      <c r="G57" s="460">
        <v>44028</v>
      </c>
      <c r="H57" s="460">
        <v>44196</v>
      </c>
    </row>
    <row r="58" spans="2:8" ht="15" customHeight="1">
      <c r="B58" s="457">
        <v>171</v>
      </c>
      <c r="C58" s="457">
        <v>2020</v>
      </c>
      <c r="D58" s="458" t="s">
        <v>454</v>
      </c>
      <c r="E58" s="459">
        <v>27600000</v>
      </c>
      <c r="F58" s="459">
        <v>4600000</v>
      </c>
      <c r="G58" s="460">
        <v>44033</v>
      </c>
      <c r="H58" s="460">
        <v>44196</v>
      </c>
    </row>
    <row r="59" spans="2:8" ht="15" customHeight="1">
      <c r="B59" s="457">
        <v>172</v>
      </c>
      <c r="C59" s="457">
        <v>2020</v>
      </c>
      <c r="D59" s="458" t="s">
        <v>455</v>
      </c>
      <c r="E59" s="459">
        <v>27600000</v>
      </c>
      <c r="F59" s="459">
        <v>4600000</v>
      </c>
      <c r="G59" s="460">
        <v>44029</v>
      </c>
      <c r="H59" s="460">
        <v>44196</v>
      </c>
    </row>
    <row r="60" spans="2:8" ht="15" customHeight="1">
      <c r="B60" s="457">
        <v>173</v>
      </c>
      <c r="C60" s="457">
        <v>2020</v>
      </c>
      <c r="D60" s="458" t="s">
        <v>456</v>
      </c>
      <c r="E60" s="459">
        <v>13170000</v>
      </c>
      <c r="F60" s="459">
        <v>2195000</v>
      </c>
      <c r="G60" s="460">
        <v>44029</v>
      </c>
      <c r="H60" s="460">
        <v>44196</v>
      </c>
    </row>
    <row r="61" spans="2:8" ht="15" customHeight="1">
      <c r="B61" s="457">
        <v>174</v>
      </c>
      <c r="C61" s="457">
        <v>2020</v>
      </c>
      <c r="D61" s="458" t="s">
        <v>457</v>
      </c>
      <c r="E61" s="459">
        <v>27600000</v>
      </c>
      <c r="F61" s="459">
        <v>4600000</v>
      </c>
      <c r="G61" s="460">
        <v>44033</v>
      </c>
      <c r="H61" s="460">
        <v>44196</v>
      </c>
    </row>
    <row r="62" spans="2:8" ht="15" customHeight="1">
      <c r="B62" s="457">
        <v>175</v>
      </c>
      <c r="C62" s="457">
        <v>2020</v>
      </c>
      <c r="D62" s="458" t="s">
        <v>458</v>
      </c>
      <c r="E62" s="459">
        <v>23100000</v>
      </c>
      <c r="F62" s="459">
        <v>3850000</v>
      </c>
      <c r="G62" s="460">
        <v>44028</v>
      </c>
      <c r="H62" s="460">
        <v>44196</v>
      </c>
    </row>
    <row r="63" spans="2:8" ht="15" customHeight="1">
      <c r="B63" s="457">
        <v>176</v>
      </c>
      <c r="C63" s="457">
        <v>2020</v>
      </c>
      <c r="D63" s="458" t="s">
        <v>459</v>
      </c>
      <c r="E63" s="459">
        <v>9744000</v>
      </c>
      <c r="F63" s="459">
        <v>1624000</v>
      </c>
      <c r="G63" s="460">
        <v>44036</v>
      </c>
      <c r="H63" s="460">
        <v>44196</v>
      </c>
    </row>
    <row r="64" spans="2:8" ht="15" customHeight="1">
      <c r="B64" s="457">
        <v>177</v>
      </c>
      <c r="C64" s="457">
        <v>2020</v>
      </c>
      <c r="D64" s="458" t="s">
        <v>460</v>
      </c>
      <c r="E64" s="459">
        <v>25200000</v>
      </c>
      <c r="F64" s="459">
        <v>4200000</v>
      </c>
      <c r="G64" s="460">
        <v>44029</v>
      </c>
      <c r="H64" s="460">
        <v>44196</v>
      </c>
    </row>
    <row r="65" spans="2:8" ht="15" customHeight="1">
      <c r="B65" s="457">
        <v>178</v>
      </c>
      <c r="C65" s="457">
        <v>2020</v>
      </c>
      <c r="D65" s="458" t="s">
        <v>461</v>
      </c>
      <c r="E65" s="459">
        <v>13170000</v>
      </c>
      <c r="F65" s="459">
        <v>2195000</v>
      </c>
      <c r="G65" s="460">
        <v>44033</v>
      </c>
      <c r="H65" s="460">
        <v>44196</v>
      </c>
    </row>
    <row r="66" spans="2:8" ht="15" customHeight="1">
      <c r="B66" s="457">
        <v>179</v>
      </c>
      <c r="C66" s="457">
        <v>2020</v>
      </c>
      <c r="D66" s="458" t="s">
        <v>462</v>
      </c>
      <c r="E66" s="459">
        <v>29970000</v>
      </c>
      <c r="F66" s="459">
        <v>4995000</v>
      </c>
      <c r="G66" s="460">
        <v>44033</v>
      </c>
      <c r="H66" s="460">
        <v>44196</v>
      </c>
    </row>
    <row r="67" spans="2:8" ht="15" customHeight="1">
      <c r="B67" s="457">
        <v>180</v>
      </c>
      <c r="C67" s="457">
        <v>2020</v>
      </c>
      <c r="D67" s="458" t="s">
        <v>463</v>
      </c>
      <c r="E67" s="459">
        <v>18966000</v>
      </c>
      <c r="F67" s="459">
        <v>3161000</v>
      </c>
      <c r="G67" s="460">
        <v>44029</v>
      </c>
      <c r="H67" s="460">
        <v>44196</v>
      </c>
    </row>
    <row r="68" spans="2:8" ht="15" customHeight="1">
      <c r="B68" s="457">
        <v>181</v>
      </c>
      <c r="C68" s="457">
        <v>2020</v>
      </c>
      <c r="D68" s="458" t="s">
        <v>464</v>
      </c>
      <c r="E68" s="459">
        <v>30000000</v>
      </c>
      <c r="F68" s="459">
        <v>5000000</v>
      </c>
      <c r="G68" s="460">
        <v>44034</v>
      </c>
      <c r="H68" s="460">
        <v>44196</v>
      </c>
    </row>
    <row r="69" spans="2:8" ht="15" customHeight="1">
      <c r="B69" s="457">
        <v>182</v>
      </c>
      <c r="C69" s="457">
        <v>2020</v>
      </c>
      <c r="D69" s="458" t="s">
        <v>465</v>
      </c>
      <c r="E69" s="459">
        <v>43340000</v>
      </c>
      <c r="F69" s="459">
        <v>7223333.333333333</v>
      </c>
      <c r="G69" s="460">
        <v>44033</v>
      </c>
      <c r="H69" s="460">
        <v>44196</v>
      </c>
    </row>
    <row r="70" spans="2:8" ht="15" customHeight="1">
      <c r="B70" s="457">
        <v>183</v>
      </c>
      <c r="C70" s="457">
        <v>2020</v>
      </c>
      <c r="D70" s="458" t="s">
        <v>466</v>
      </c>
      <c r="E70" s="459">
        <v>27600000</v>
      </c>
      <c r="F70" s="459">
        <v>4600000</v>
      </c>
      <c r="G70" s="460">
        <v>44034</v>
      </c>
      <c r="H70" s="460">
        <v>44196</v>
      </c>
    </row>
    <row r="71" spans="2:8" ht="15" customHeight="1">
      <c r="B71" s="457">
        <v>184</v>
      </c>
      <c r="C71" s="457">
        <v>2020</v>
      </c>
      <c r="D71" s="458" t="s">
        <v>467</v>
      </c>
      <c r="E71" s="459">
        <v>34680000</v>
      </c>
      <c r="F71" s="459">
        <v>5780000</v>
      </c>
      <c r="G71" s="460">
        <v>44035</v>
      </c>
      <c r="H71" s="460">
        <v>44196</v>
      </c>
    </row>
    <row r="72" spans="2:8" ht="15" customHeight="1">
      <c r="B72" s="457">
        <v>185</v>
      </c>
      <c r="C72" s="457">
        <v>2020</v>
      </c>
      <c r="D72" s="458" t="s">
        <v>468</v>
      </c>
      <c r="E72" s="459">
        <v>9744000</v>
      </c>
      <c r="F72" s="459">
        <v>1624000</v>
      </c>
      <c r="G72" s="460">
        <v>44040</v>
      </c>
      <c r="H72" s="460">
        <v>44196</v>
      </c>
    </row>
    <row r="73" spans="2:8" ht="15" customHeight="1">
      <c r="B73" s="457">
        <v>186</v>
      </c>
      <c r="C73" s="457">
        <v>2020</v>
      </c>
      <c r="D73" s="458" t="s">
        <v>469</v>
      </c>
      <c r="E73" s="459">
        <v>9744000</v>
      </c>
      <c r="F73" s="459">
        <v>1624000</v>
      </c>
      <c r="G73" s="460">
        <v>44055</v>
      </c>
      <c r="H73" s="460">
        <v>44196</v>
      </c>
    </row>
    <row r="74" spans="2:8" ht="15" customHeight="1">
      <c r="B74" s="457">
        <v>187</v>
      </c>
      <c r="C74" s="457">
        <v>2020</v>
      </c>
      <c r="D74" s="458" t="s">
        <v>470</v>
      </c>
      <c r="E74" s="459">
        <v>29970000</v>
      </c>
      <c r="F74" s="459">
        <v>4995000</v>
      </c>
      <c r="G74" s="460">
        <v>44036</v>
      </c>
      <c r="H74" s="460">
        <v>44196</v>
      </c>
    </row>
    <row r="75" spans="2:8" ht="15" customHeight="1">
      <c r="B75" s="457">
        <v>188</v>
      </c>
      <c r="C75" s="457">
        <v>2020</v>
      </c>
      <c r="D75" s="458" t="s">
        <v>471</v>
      </c>
      <c r="E75" s="459">
        <v>29970000</v>
      </c>
      <c r="F75" s="459">
        <v>4995000</v>
      </c>
      <c r="G75" s="460">
        <v>44037</v>
      </c>
      <c r="H75" s="460">
        <v>44196</v>
      </c>
    </row>
    <row r="76" spans="2:8" ht="15" customHeight="1">
      <c r="B76" s="457">
        <v>189</v>
      </c>
      <c r="C76" s="457">
        <v>2020</v>
      </c>
      <c r="D76" s="458" t="s">
        <v>472</v>
      </c>
      <c r="E76" s="459">
        <v>9744000</v>
      </c>
      <c r="F76" s="459">
        <v>1624000</v>
      </c>
      <c r="G76" s="460">
        <v>44039</v>
      </c>
      <c r="H76" s="460">
        <v>44196</v>
      </c>
    </row>
    <row r="77" spans="2:8" ht="15" customHeight="1">
      <c r="B77" s="457">
        <v>190</v>
      </c>
      <c r="C77" s="457">
        <v>2020</v>
      </c>
      <c r="D77" s="458" t="s">
        <v>473</v>
      </c>
      <c r="E77" s="459">
        <v>18966000</v>
      </c>
      <c r="F77" s="459">
        <v>3161000</v>
      </c>
      <c r="G77" s="460">
        <v>44039</v>
      </c>
      <c r="H77" s="460">
        <v>44196</v>
      </c>
    </row>
    <row r="78" spans="2:8" ht="15" customHeight="1">
      <c r="B78" s="457">
        <v>191</v>
      </c>
      <c r="C78" s="457">
        <v>2020</v>
      </c>
      <c r="D78" s="458" t="s">
        <v>474</v>
      </c>
      <c r="E78" s="459">
        <v>27600000</v>
      </c>
      <c r="F78" s="459">
        <v>4600000</v>
      </c>
      <c r="G78" s="460">
        <v>44036</v>
      </c>
      <c r="H78" s="460">
        <v>44196</v>
      </c>
    </row>
    <row r="79" spans="2:8" ht="15" customHeight="1">
      <c r="B79" s="457">
        <v>192</v>
      </c>
      <c r="C79" s="457">
        <v>2020</v>
      </c>
      <c r="D79" s="458" t="s">
        <v>475</v>
      </c>
      <c r="E79" s="459">
        <v>17385500</v>
      </c>
      <c r="F79" s="459">
        <v>2897583.3333333335</v>
      </c>
      <c r="G79" s="460">
        <v>44039</v>
      </c>
      <c r="H79" s="460">
        <v>44196</v>
      </c>
    </row>
    <row r="80" spans="2:8" ht="15" customHeight="1">
      <c r="B80" s="457">
        <v>194</v>
      </c>
      <c r="C80" s="457">
        <v>2020</v>
      </c>
      <c r="D80" s="458" t="s">
        <v>476</v>
      </c>
      <c r="E80" s="459">
        <v>9744000</v>
      </c>
      <c r="F80" s="459">
        <v>1624000</v>
      </c>
      <c r="G80" s="460">
        <v>44039</v>
      </c>
      <c r="H80" s="460">
        <v>44196</v>
      </c>
    </row>
    <row r="81" spans="2:8" ht="15" customHeight="1">
      <c r="B81" s="457">
        <v>195</v>
      </c>
      <c r="C81" s="457">
        <v>2020</v>
      </c>
      <c r="D81" s="458" t="s">
        <v>477</v>
      </c>
      <c r="E81" s="459">
        <v>9744000</v>
      </c>
      <c r="F81" s="459">
        <v>1624000</v>
      </c>
      <c r="G81" s="460">
        <v>44046</v>
      </c>
      <c r="H81" s="460">
        <v>44196</v>
      </c>
    </row>
    <row r="82" spans="2:8" ht="15" customHeight="1">
      <c r="B82" s="457">
        <v>196</v>
      </c>
      <c r="C82" s="457">
        <v>2020</v>
      </c>
      <c r="D82" s="458" t="s">
        <v>478</v>
      </c>
      <c r="E82" s="459">
        <v>9744000</v>
      </c>
      <c r="F82" s="459">
        <v>1624000</v>
      </c>
      <c r="G82" s="460">
        <v>44040</v>
      </c>
      <c r="H82" s="460">
        <v>44196</v>
      </c>
    </row>
    <row r="83" spans="2:8" ht="15" customHeight="1">
      <c r="B83" s="457">
        <v>197</v>
      </c>
      <c r="C83" s="457">
        <v>2020</v>
      </c>
      <c r="D83" s="458" t="s">
        <v>479</v>
      </c>
      <c r="E83" s="459">
        <v>9744000</v>
      </c>
      <c r="F83" s="459">
        <v>1624000</v>
      </c>
      <c r="G83" s="460">
        <v>44042</v>
      </c>
      <c r="H83" s="460">
        <v>44196</v>
      </c>
    </row>
    <row r="84" spans="2:8" ht="15" customHeight="1">
      <c r="B84" s="457">
        <v>198</v>
      </c>
      <c r="C84" s="457">
        <v>2020</v>
      </c>
      <c r="D84" s="458" t="s">
        <v>480</v>
      </c>
      <c r="E84" s="459">
        <v>9744000</v>
      </c>
      <c r="F84" s="459">
        <v>1624000</v>
      </c>
      <c r="G84" s="460">
        <v>44042</v>
      </c>
      <c r="H84" s="460">
        <v>44196</v>
      </c>
    </row>
    <row r="85" spans="2:8" ht="15" customHeight="1">
      <c r="B85" s="457">
        <v>199</v>
      </c>
      <c r="C85" s="457">
        <v>2020</v>
      </c>
      <c r="D85" s="458" t="s">
        <v>481</v>
      </c>
      <c r="E85" s="459">
        <v>18966000</v>
      </c>
      <c r="F85" s="459">
        <v>3161000</v>
      </c>
      <c r="G85" s="460">
        <v>44046</v>
      </c>
      <c r="H85" s="460">
        <v>44196</v>
      </c>
    </row>
    <row r="86" spans="2:8" ht="15" customHeight="1">
      <c r="B86" s="457">
        <v>200</v>
      </c>
      <c r="C86" s="457">
        <v>2020</v>
      </c>
      <c r="D86" s="458" t="s">
        <v>482</v>
      </c>
      <c r="E86" s="459">
        <v>27600000</v>
      </c>
      <c r="F86" s="459">
        <v>4600000</v>
      </c>
      <c r="G86" s="460">
        <v>44047</v>
      </c>
      <c r="H86" s="460">
        <v>44196</v>
      </c>
    </row>
    <row r="87" spans="2:8" ht="15" customHeight="1">
      <c r="B87" s="457">
        <v>201</v>
      </c>
      <c r="C87" s="457">
        <v>2020</v>
      </c>
      <c r="D87" s="458" t="s">
        <v>483</v>
      </c>
      <c r="E87" s="459">
        <v>27600000</v>
      </c>
      <c r="F87" s="459">
        <v>4600000</v>
      </c>
      <c r="G87" s="460">
        <v>44047</v>
      </c>
      <c r="H87" s="460">
        <v>44196</v>
      </c>
    </row>
    <row r="88" spans="2:8" ht="15" customHeight="1">
      <c r="B88" s="457">
        <v>202</v>
      </c>
      <c r="C88" s="457">
        <v>2020</v>
      </c>
      <c r="D88" s="458" t="s">
        <v>484</v>
      </c>
      <c r="E88" s="459">
        <v>29970000</v>
      </c>
      <c r="F88" s="459">
        <v>4995000</v>
      </c>
      <c r="G88" s="460">
        <v>44047</v>
      </c>
      <c r="H88" s="460">
        <v>44196</v>
      </c>
    </row>
    <row r="89" spans="2:8" ht="15" customHeight="1">
      <c r="B89" s="457">
        <v>204</v>
      </c>
      <c r="C89" s="457">
        <v>2020</v>
      </c>
      <c r="D89" s="458" t="s">
        <v>485</v>
      </c>
      <c r="E89" s="459">
        <v>20450000</v>
      </c>
      <c r="F89" s="459">
        <v>4090000</v>
      </c>
      <c r="G89" s="460">
        <v>44044</v>
      </c>
      <c r="H89" s="460">
        <v>44196</v>
      </c>
    </row>
    <row r="90" spans="2:8" ht="15" customHeight="1">
      <c r="B90" s="457">
        <v>205</v>
      </c>
      <c r="C90" s="457">
        <v>2020</v>
      </c>
      <c r="D90" s="458" t="s">
        <v>486</v>
      </c>
      <c r="E90" s="459">
        <v>13170000</v>
      </c>
      <c r="F90" s="459">
        <v>2195000</v>
      </c>
      <c r="G90" s="460">
        <v>44044</v>
      </c>
      <c r="H90" s="460">
        <v>44196</v>
      </c>
    </row>
    <row r="91" spans="2:8" ht="15" customHeight="1">
      <c r="B91" s="457">
        <v>206</v>
      </c>
      <c r="C91" s="457">
        <v>2020</v>
      </c>
      <c r="D91" s="458" t="s">
        <v>487</v>
      </c>
      <c r="E91" s="459">
        <v>28900000</v>
      </c>
      <c r="F91" s="459">
        <v>5780000</v>
      </c>
      <c r="G91" s="460">
        <v>44046</v>
      </c>
      <c r="H91" s="460">
        <v>44196</v>
      </c>
    </row>
    <row r="92" spans="2:8" ht="15" customHeight="1">
      <c r="B92" s="457">
        <v>207</v>
      </c>
      <c r="C92" s="457">
        <v>2020</v>
      </c>
      <c r="D92" s="458" t="s">
        <v>488</v>
      </c>
      <c r="E92" s="459">
        <v>9744000</v>
      </c>
      <c r="F92" s="459">
        <v>1624000</v>
      </c>
      <c r="G92" s="460">
        <v>44048</v>
      </c>
      <c r="H92" s="460">
        <v>44196</v>
      </c>
    </row>
    <row r="93" spans="2:8" ht="15" customHeight="1">
      <c r="B93" s="457">
        <v>208</v>
      </c>
      <c r="C93" s="457">
        <v>2020</v>
      </c>
      <c r="D93" s="458" t="s">
        <v>489</v>
      </c>
      <c r="E93" s="459">
        <v>18966000</v>
      </c>
      <c r="F93" s="459">
        <v>3161000</v>
      </c>
      <c r="G93" s="460">
        <v>44053</v>
      </c>
      <c r="H93" s="460">
        <v>44196</v>
      </c>
    </row>
    <row r="94" spans="2:8" ht="15" customHeight="1">
      <c r="B94" s="457">
        <v>209</v>
      </c>
      <c r="C94" s="457">
        <v>2020</v>
      </c>
      <c r="D94" s="458" t="s">
        <v>490</v>
      </c>
      <c r="E94" s="459">
        <v>13170000</v>
      </c>
      <c r="F94" s="459">
        <v>2195000</v>
      </c>
      <c r="G94" s="460">
        <v>44055</v>
      </c>
      <c r="H94" s="460">
        <v>44196</v>
      </c>
    </row>
    <row r="95" spans="2:8" ht="15" customHeight="1">
      <c r="B95" s="457">
        <v>210</v>
      </c>
      <c r="C95" s="457">
        <v>2020</v>
      </c>
      <c r="D95" s="458" t="s">
        <v>491</v>
      </c>
      <c r="E95" s="459">
        <v>24540000</v>
      </c>
      <c r="F95" s="459">
        <v>4090000</v>
      </c>
      <c r="G95" s="460">
        <v>44064</v>
      </c>
      <c r="H95" s="460">
        <v>44196</v>
      </c>
    </row>
    <row r="96" spans="2:8" ht="15" customHeight="1">
      <c r="B96" s="457">
        <v>212</v>
      </c>
      <c r="C96" s="457">
        <v>2020</v>
      </c>
      <c r="D96" s="458" t="s">
        <v>492</v>
      </c>
      <c r="E96" s="459">
        <v>9744000</v>
      </c>
      <c r="F96" s="459">
        <v>1624000</v>
      </c>
      <c r="G96" s="460">
        <v>44064</v>
      </c>
      <c r="H96" s="460">
        <v>44196</v>
      </c>
    </row>
    <row r="97" spans="2:8" ht="15" customHeight="1">
      <c r="B97" s="457">
        <v>213</v>
      </c>
      <c r="C97" s="457">
        <v>2020</v>
      </c>
      <c r="D97" s="458" t="s">
        <v>493</v>
      </c>
      <c r="E97" s="459">
        <v>9744000</v>
      </c>
      <c r="F97" s="459">
        <v>1624000</v>
      </c>
      <c r="G97" s="460">
        <v>44067</v>
      </c>
      <c r="H97" s="460">
        <v>44196</v>
      </c>
    </row>
    <row r="98" spans="2:8" ht="15" customHeight="1">
      <c r="B98" s="457">
        <v>214</v>
      </c>
      <c r="C98" s="457">
        <v>2020</v>
      </c>
      <c r="D98" s="458" t="s">
        <v>494</v>
      </c>
      <c r="E98" s="459">
        <v>23000000</v>
      </c>
      <c r="F98" s="459">
        <v>4600000</v>
      </c>
      <c r="G98" s="460">
        <v>44068</v>
      </c>
      <c r="H98" s="460">
        <v>44196</v>
      </c>
    </row>
    <row r="99" spans="2:8" ht="15" customHeight="1">
      <c r="B99" s="457">
        <v>215</v>
      </c>
      <c r="C99" s="457">
        <v>2020</v>
      </c>
      <c r="D99" s="458" t="s">
        <v>495</v>
      </c>
      <c r="E99" s="459">
        <v>23000000</v>
      </c>
      <c r="F99" s="459">
        <v>4600000</v>
      </c>
      <c r="G99" s="460">
        <v>44091</v>
      </c>
      <c r="H99" s="460">
        <v>44196</v>
      </c>
    </row>
    <row r="100" spans="2:8" ht="15" customHeight="1">
      <c r="B100" s="457">
        <v>225</v>
      </c>
      <c r="C100" s="457">
        <v>2020</v>
      </c>
      <c r="D100" s="458" t="s">
        <v>496</v>
      </c>
      <c r="E100" s="459">
        <v>13800000</v>
      </c>
      <c r="F100" s="459">
        <v>4600000</v>
      </c>
      <c r="G100" s="460">
        <v>44099</v>
      </c>
      <c r="H100" s="460">
        <v>44196</v>
      </c>
    </row>
  </sheetData>
  <mergeCells count="2">
    <mergeCell ref="B2:H2"/>
    <mergeCell ref="B3:H3"/>
  </mergeCells>
  <dataValidations count="1">
    <dataValidation allowBlank="1" showErrorMessage="1" sqref="B12:B60 G5:H100" xr:uid="{77BF92BF-91A0-48B0-9995-43819F27C54C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A0F2C"/>
  </sheetPr>
  <dimension ref="B1:L24"/>
  <sheetViews>
    <sheetView showGridLines="0" zoomScale="85" zoomScaleNormal="85" workbookViewId="0">
      <pane ySplit="6" topLeftCell="A7" activePane="bottomLeft" state="frozen"/>
      <selection pane="bottomLeft" activeCell="D10" sqref="D10"/>
    </sheetView>
  </sheetViews>
  <sheetFormatPr baseColWidth="10" defaultRowHeight="39.950000000000003" customHeight="1"/>
  <cols>
    <col min="1" max="1" width="2.85546875" style="252" customWidth="1"/>
    <col min="2" max="2" width="20.7109375" style="252" customWidth="1"/>
    <col min="3" max="4" width="40.7109375" style="252" customWidth="1"/>
    <col min="5" max="5" width="20.7109375" style="265" customWidth="1"/>
    <col min="6" max="7" width="20.7109375" style="252" customWidth="1"/>
    <col min="8" max="8" width="20.7109375" style="260" customWidth="1"/>
    <col min="9" max="10" width="20.7109375" style="252" customWidth="1"/>
    <col min="11" max="11" width="11.42578125" style="252"/>
    <col min="12" max="12" width="12.42578125" style="252" bestFit="1" customWidth="1"/>
    <col min="13" max="16384" width="11.42578125" style="252"/>
  </cols>
  <sheetData>
    <row r="1" spans="2:12" ht="15">
      <c r="E1" s="253"/>
    </row>
    <row r="2" spans="2:12" ht="15">
      <c r="B2" s="333"/>
      <c r="C2" s="334"/>
      <c r="D2" s="334"/>
      <c r="E2" s="334"/>
      <c r="F2" s="334"/>
      <c r="G2" s="334"/>
      <c r="H2" s="334"/>
      <c r="I2" s="334"/>
      <c r="J2" s="335"/>
    </row>
    <row r="3" spans="2:12" ht="15">
      <c r="B3" s="336"/>
      <c r="C3" s="337"/>
      <c r="D3" s="337"/>
      <c r="E3" s="337"/>
      <c r="F3" s="337"/>
      <c r="G3" s="337"/>
      <c r="H3" s="337"/>
      <c r="I3" s="337"/>
      <c r="J3" s="338"/>
    </row>
    <row r="4" spans="2:12" ht="15">
      <c r="B4" s="336"/>
      <c r="C4" s="337"/>
      <c r="D4" s="337"/>
      <c r="E4" s="337"/>
      <c r="F4" s="337"/>
      <c r="G4" s="337"/>
      <c r="H4" s="337"/>
      <c r="I4" s="337"/>
      <c r="J4" s="338"/>
    </row>
    <row r="5" spans="2:12" ht="15">
      <c r="B5" s="339"/>
      <c r="C5" s="340"/>
      <c r="D5" s="340"/>
      <c r="E5" s="340"/>
      <c r="F5" s="340"/>
      <c r="G5" s="340"/>
      <c r="H5" s="340"/>
      <c r="I5" s="340"/>
      <c r="J5" s="341"/>
    </row>
    <row r="6" spans="2:12" s="254" customFormat="1" ht="30">
      <c r="B6" s="256" t="s">
        <v>269</v>
      </c>
      <c r="C6" s="256" t="s">
        <v>261</v>
      </c>
      <c r="D6" s="256" t="s">
        <v>262</v>
      </c>
      <c r="E6" s="257" t="s">
        <v>263</v>
      </c>
      <c r="F6" s="256" t="s">
        <v>264</v>
      </c>
      <c r="G6" s="256" t="s">
        <v>265</v>
      </c>
      <c r="H6" s="261" t="s">
        <v>266</v>
      </c>
      <c r="I6" s="256" t="s">
        <v>267</v>
      </c>
      <c r="J6" s="256" t="s">
        <v>268</v>
      </c>
    </row>
    <row r="7" spans="2:12" ht="39.950000000000003" customHeight="1">
      <c r="B7" s="249" t="s">
        <v>284</v>
      </c>
      <c r="C7" s="249" t="s">
        <v>283</v>
      </c>
      <c r="D7" s="249" t="s">
        <v>299</v>
      </c>
      <c r="E7" s="264">
        <v>83524399</v>
      </c>
      <c r="F7" s="264">
        <v>41528903</v>
      </c>
      <c r="G7" s="258" t="s">
        <v>325</v>
      </c>
      <c r="H7" s="262">
        <v>43432</v>
      </c>
      <c r="I7" s="262">
        <v>44023</v>
      </c>
      <c r="J7" s="266">
        <v>1</v>
      </c>
    </row>
    <row r="8" spans="2:12" ht="39.950000000000003" customHeight="1">
      <c r="B8" s="249" t="s">
        <v>285</v>
      </c>
      <c r="C8" s="249" t="s">
        <v>270</v>
      </c>
      <c r="D8" s="249" t="s">
        <v>300</v>
      </c>
      <c r="E8" s="264">
        <v>272259296</v>
      </c>
      <c r="F8" s="264">
        <f>61994452+73429353</f>
        <v>135423805</v>
      </c>
      <c r="G8" s="258" t="s">
        <v>381</v>
      </c>
      <c r="H8" s="262">
        <v>44029</v>
      </c>
      <c r="I8" s="250">
        <v>44089</v>
      </c>
      <c r="J8" s="269">
        <v>0.9607</v>
      </c>
      <c r="L8" s="253"/>
    </row>
    <row r="9" spans="2:12" ht="39.950000000000003" customHeight="1">
      <c r="B9" s="249" t="s">
        <v>286</v>
      </c>
      <c r="C9" s="249" t="s">
        <v>271</v>
      </c>
      <c r="D9" s="249" t="s">
        <v>301</v>
      </c>
      <c r="E9" s="264">
        <v>109163657</v>
      </c>
      <c r="F9" s="258" t="s">
        <v>71</v>
      </c>
      <c r="G9" s="258" t="s">
        <v>322</v>
      </c>
      <c r="H9" s="262">
        <v>43673</v>
      </c>
      <c r="I9" s="250">
        <v>44114</v>
      </c>
      <c r="J9" s="269">
        <v>0.8992</v>
      </c>
      <c r="K9" s="322"/>
      <c r="L9" s="322"/>
    </row>
    <row r="10" spans="2:12" ht="39.950000000000003" customHeight="1">
      <c r="B10" s="249" t="s">
        <v>287</v>
      </c>
      <c r="C10" s="249" t="s">
        <v>272</v>
      </c>
      <c r="D10" s="249" t="s">
        <v>302</v>
      </c>
      <c r="E10" s="264">
        <v>15966468</v>
      </c>
      <c r="F10" s="258" t="s">
        <v>71</v>
      </c>
      <c r="G10" s="258" t="s">
        <v>71</v>
      </c>
      <c r="H10" s="262">
        <v>43679</v>
      </c>
      <c r="I10" s="250">
        <v>44044</v>
      </c>
      <c r="J10" s="269">
        <f>(1330468*10)/E10</f>
        <v>0.83328886513911526</v>
      </c>
    </row>
    <row r="11" spans="2:12" ht="39.950000000000003" customHeight="1">
      <c r="B11" s="249" t="s">
        <v>288</v>
      </c>
      <c r="C11" s="249" t="s">
        <v>273</v>
      </c>
      <c r="D11" s="249" t="s">
        <v>303</v>
      </c>
      <c r="E11" s="264">
        <v>8000000</v>
      </c>
      <c r="F11" s="255" t="s">
        <v>71</v>
      </c>
      <c r="G11" s="258" t="s">
        <v>71</v>
      </c>
      <c r="H11" s="262">
        <v>43756</v>
      </c>
      <c r="I11" s="250">
        <v>44060</v>
      </c>
      <c r="J11" s="269">
        <v>0.34210000000000002</v>
      </c>
      <c r="K11" s="322"/>
    </row>
    <row r="12" spans="2:12" ht="39.950000000000003" customHeight="1">
      <c r="B12" s="248" t="s">
        <v>289</v>
      </c>
      <c r="C12" s="248" t="s">
        <v>274</v>
      </c>
      <c r="D12" s="248" t="s">
        <v>304</v>
      </c>
      <c r="E12" s="264">
        <v>7803337</v>
      </c>
      <c r="F12" s="264">
        <v>3890979</v>
      </c>
      <c r="G12" s="258" t="s">
        <v>324</v>
      </c>
      <c r="H12" s="263">
        <v>43613</v>
      </c>
      <c r="I12" s="263">
        <v>44156</v>
      </c>
      <c r="J12" s="266">
        <v>1</v>
      </c>
    </row>
    <row r="13" spans="2:12" ht="39.950000000000003" customHeight="1">
      <c r="B13" s="249" t="s">
        <v>290</v>
      </c>
      <c r="C13" s="249" t="s">
        <v>275</v>
      </c>
      <c r="D13" s="249" t="s">
        <v>305</v>
      </c>
      <c r="E13" s="264">
        <v>22000000</v>
      </c>
      <c r="F13" s="258" t="s">
        <v>71</v>
      </c>
      <c r="G13" s="258" t="s">
        <v>323</v>
      </c>
      <c r="H13" s="262">
        <v>43762</v>
      </c>
      <c r="I13" s="250">
        <v>44187</v>
      </c>
      <c r="J13" s="269">
        <v>0.57889999999999997</v>
      </c>
    </row>
    <row r="14" spans="2:12" ht="39.950000000000003" customHeight="1">
      <c r="B14" s="248" t="s">
        <v>291</v>
      </c>
      <c r="C14" s="248" t="s">
        <v>276</v>
      </c>
      <c r="D14" s="248" t="s">
        <v>306</v>
      </c>
      <c r="E14" s="264">
        <v>32144542</v>
      </c>
      <c r="F14" s="258" t="s">
        <v>71</v>
      </c>
      <c r="G14" s="258" t="s">
        <v>71</v>
      </c>
      <c r="H14" s="263">
        <v>43542</v>
      </c>
      <c r="I14" s="250">
        <v>44196</v>
      </c>
      <c r="J14" s="269">
        <v>0.52629999999999999</v>
      </c>
    </row>
    <row r="15" spans="2:12" ht="39.950000000000003" customHeight="1">
      <c r="B15" s="248" t="s">
        <v>292</v>
      </c>
      <c r="C15" s="248" t="s">
        <v>277</v>
      </c>
      <c r="D15" s="248" t="s">
        <v>307</v>
      </c>
      <c r="E15" s="264">
        <v>44000000</v>
      </c>
      <c r="F15" s="258" t="s">
        <v>71</v>
      </c>
      <c r="G15" s="258" t="s">
        <v>71</v>
      </c>
      <c r="H15" s="263">
        <v>43892</v>
      </c>
      <c r="I15" s="263">
        <v>44256</v>
      </c>
      <c r="J15" s="266">
        <v>0</v>
      </c>
    </row>
    <row r="16" spans="2:12" ht="39.950000000000003" customHeight="1">
      <c r="B16" s="248" t="s">
        <v>293</v>
      </c>
      <c r="C16" s="248" t="s">
        <v>278</v>
      </c>
      <c r="D16" s="248" t="s">
        <v>308</v>
      </c>
      <c r="E16" s="264">
        <v>5000000</v>
      </c>
      <c r="F16" s="258" t="s">
        <v>71</v>
      </c>
      <c r="G16" s="258" t="s">
        <v>71</v>
      </c>
      <c r="H16" s="263">
        <v>43900</v>
      </c>
      <c r="I16" s="250" t="s">
        <v>316</v>
      </c>
      <c r="J16" s="268">
        <v>0.15040000000000001</v>
      </c>
    </row>
    <row r="17" spans="2:10" ht="39.950000000000003" customHeight="1">
      <c r="B17" s="248" t="s">
        <v>294</v>
      </c>
      <c r="C17" s="248" t="s">
        <v>279</v>
      </c>
      <c r="D17" s="248" t="s">
        <v>309</v>
      </c>
      <c r="E17" s="264">
        <v>161538785</v>
      </c>
      <c r="F17" s="258" t="s">
        <v>71</v>
      </c>
      <c r="G17" s="258" t="s">
        <v>71</v>
      </c>
      <c r="H17" s="263">
        <v>43945</v>
      </c>
      <c r="I17" s="250">
        <v>44278</v>
      </c>
      <c r="J17" s="269">
        <v>0.31900000000000001</v>
      </c>
    </row>
    <row r="18" spans="2:10" ht="39.950000000000003" customHeight="1">
      <c r="B18" s="248" t="s">
        <v>295</v>
      </c>
      <c r="C18" s="248" t="s">
        <v>280</v>
      </c>
      <c r="D18" s="248" t="s">
        <v>310</v>
      </c>
      <c r="E18" s="264">
        <v>25000000</v>
      </c>
      <c r="F18" s="258" t="s">
        <v>71</v>
      </c>
      <c r="G18" s="258" t="s">
        <v>71</v>
      </c>
      <c r="H18" s="263">
        <v>43919</v>
      </c>
      <c r="I18" s="250">
        <v>44283</v>
      </c>
      <c r="J18" s="269">
        <f>2000000/E18</f>
        <v>0.08</v>
      </c>
    </row>
    <row r="19" spans="2:10" ht="39.950000000000003" customHeight="1">
      <c r="B19" s="248" t="s">
        <v>321</v>
      </c>
      <c r="C19" s="248" t="s">
        <v>281</v>
      </c>
      <c r="D19" s="248" t="s">
        <v>311</v>
      </c>
      <c r="E19" s="264">
        <v>24000000</v>
      </c>
      <c r="F19" s="258" t="s">
        <v>71</v>
      </c>
      <c r="G19" s="258" t="s">
        <v>71</v>
      </c>
      <c r="H19" s="263">
        <v>44014</v>
      </c>
      <c r="I19" s="250">
        <v>44378</v>
      </c>
      <c r="J19" s="267">
        <v>0</v>
      </c>
    </row>
    <row r="20" spans="2:10" ht="39.950000000000003" customHeight="1">
      <c r="B20" s="248" t="s">
        <v>297</v>
      </c>
      <c r="C20" s="248" t="s">
        <v>282</v>
      </c>
      <c r="D20" s="248" t="s">
        <v>312</v>
      </c>
      <c r="E20" s="264">
        <v>24000000</v>
      </c>
      <c r="F20" s="258" t="s">
        <v>71</v>
      </c>
      <c r="G20" s="258" t="s">
        <v>71</v>
      </c>
      <c r="H20" s="263">
        <v>43956</v>
      </c>
      <c r="I20" s="250">
        <v>44320</v>
      </c>
      <c r="J20" s="267">
        <v>0</v>
      </c>
    </row>
    <row r="21" spans="2:10" ht="39.950000000000003" customHeight="1">
      <c r="B21" s="248" t="s">
        <v>318</v>
      </c>
      <c r="C21" s="251" t="s">
        <v>298</v>
      </c>
      <c r="D21" s="251" t="s">
        <v>313</v>
      </c>
      <c r="E21" s="264">
        <v>1660240</v>
      </c>
      <c r="F21" s="258" t="s">
        <v>71</v>
      </c>
      <c r="G21" s="258" t="s">
        <v>71</v>
      </c>
      <c r="H21" s="259">
        <v>43977</v>
      </c>
      <c r="I21" s="250">
        <v>44007</v>
      </c>
      <c r="J21" s="267">
        <v>1</v>
      </c>
    </row>
    <row r="22" spans="2:10" ht="39.950000000000003" customHeight="1">
      <c r="B22" s="248" t="s">
        <v>296</v>
      </c>
      <c r="C22" s="251" t="s">
        <v>317</v>
      </c>
      <c r="D22" s="251" t="s">
        <v>314</v>
      </c>
      <c r="E22" s="264">
        <v>4000000</v>
      </c>
      <c r="F22" s="258" t="s">
        <v>71</v>
      </c>
      <c r="G22" s="258" t="s">
        <v>71</v>
      </c>
      <c r="H22" s="259">
        <v>43993</v>
      </c>
      <c r="I22" s="250">
        <v>44357</v>
      </c>
      <c r="J22" s="267">
        <v>0</v>
      </c>
    </row>
    <row r="23" spans="2:10" ht="39.950000000000003" customHeight="1">
      <c r="B23" s="248">
        <v>50363</v>
      </c>
      <c r="C23" s="251" t="s">
        <v>320</v>
      </c>
      <c r="D23" s="251" t="s">
        <v>315</v>
      </c>
      <c r="E23" s="264">
        <v>35889060</v>
      </c>
      <c r="F23" s="264">
        <v>6314810</v>
      </c>
      <c r="G23" s="258" t="s">
        <v>319</v>
      </c>
      <c r="H23" s="259">
        <v>44000</v>
      </c>
      <c r="I23" s="250">
        <v>44029</v>
      </c>
      <c r="J23" s="267">
        <v>0</v>
      </c>
    </row>
    <row r="24" spans="2:10" ht="39.950000000000003" customHeight="1">
      <c r="B24" s="248" t="s">
        <v>378</v>
      </c>
      <c r="C24" s="251" t="s">
        <v>379</v>
      </c>
      <c r="D24" s="251" t="s">
        <v>380</v>
      </c>
      <c r="E24" s="264">
        <v>16130836</v>
      </c>
      <c r="F24" s="264" t="s">
        <v>71</v>
      </c>
      <c r="G24" s="258" t="s">
        <v>71</v>
      </c>
      <c r="H24" s="259">
        <v>44043</v>
      </c>
      <c r="I24" s="250">
        <v>44086</v>
      </c>
      <c r="J24" s="267">
        <v>0</v>
      </c>
    </row>
  </sheetData>
  <mergeCells count="1">
    <mergeCell ref="B2:J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A0F2C"/>
  </sheetPr>
  <dimension ref="B1:K17"/>
  <sheetViews>
    <sheetView showGridLines="0" zoomScale="85" zoomScaleNormal="85" workbookViewId="0">
      <selection activeCell="D10" sqref="D10"/>
    </sheetView>
  </sheetViews>
  <sheetFormatPr baseColWidth="10" defaultRowHeight="39.950000000000003" customHeight="1"/>
  <cols>
    <col min="1" max="1" width="2.85546875" style="252" customWidth="1"/>
    <col min="2" max="2" width="20.7109375" style="252" customWidth="1"/>
    <col min="3" max="4" width="40.7109375" style="252" customWidth="1"/>
    <col min="5" max="5" width="20.7109375" style="265" customWidth="1"/>
    <col min="6" max="7" width="20.7109375" style="252" customWidth="1"/>
    <col min="8" max="8" width="20.7109375" style="260" customWidth="1"/>
    <col min="9" max="11" width="20.7109375" style="252" customWidth="1"/>
    <col min="12" max="16384" width="11.42578125" style="252"/>
  </cols>
  <sheetData>
    <row r="1" spans="2:11" ht="15">
      <c r="E1" s="253"/>
    </row>
    <row r="2" spans="2:11" ht="15"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2:11" ht="15">
      <c r="B3" s="342"/>
      <c r="C3" s="342"/>
      <c r="D3" s="342"/>
      <c r="E3" s="342"/>
      <c r="F3" s="342"/>
      <c r="G3" s="342"/>
      <c r="H3" s="342"/>
      <c r="I3" s="342"/>
      <c r="J3" s="342"/>
      <c r="K3" s="342"/>
    </row>
    <row r="4" spans="2:11" ht="15"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2:11" ht="15"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2:11" s="254" customFormat="1" ht="30">
      <c r="B6" s="256" t="s">
        <v>269</v>
      </c>
      <c r="C6" s="256" t="s">
        <v>261</v>
      </c>
      <c r="D6" s="256" t="s">
        <v>262</v>
      </c>
      <c r="E6" s="257" t="s">
        <v>263</v>
      </c>
      <c r="F6" s="256" t="s">
        <v>264</v>
      </c>
      <c r="G6" s="256" t="s">
        <v>265</v>
      </c>
      <c r="H6" s="261" t="s">
        <v>266</v>
      </c>
      <c r="I6" s="256" t="s">
        <v>267</v>
      </c>
      <c r="J6" s="256" t="s">
        <v>268</v>
      </c>
      <c r="K6" s="256" t="s">
        <v>356</v>
      </c>
    </row>
    <row r="7" spans="2:11" ht="39.950000000000003" customHeight="1">
      <c r="B7" s="249" t="s">
        <v>335</v>
      </c>
      <c r="C7" s="255" t="s">
        <v>326</v>
      </c>
      <c r="D7" s="249" t="s">
        <v>336</v>
      </c>
      <c r="E7" s="264">
        <v>515736000</v>
      </c>
      <c r="F7" s="264">
        <v>253841000</v>
      </c>
      <c r="G7" s="258" t="s">
        <v>323</v>
      </c>
      <c r="H7" s="151">
        <v>43898</v>
      </c>
      <c r="I7" s="151">
        <v>44141</v>
      </c>
      <c r="J7" s="266">
        <v>0.51</v>
      </c>
      <c r="K7" s="266">
        <v>0.55000000000000004</v>
      </c>
    </row>
    <row r="8" spans="2:11" ht="39.950000000000003" customHeight="1">
      <c r="B8" s="249" t="s">
        <v>346</v>
      </c>
      <c r="C8" s="255" t="s">
        <v>327</v>
      </c>
      <c r="D8" s="249" t="s">
        <v>337</v>
      </c>
      <c r="E8" s="264">
        <v>95870684</v>
      </c>
      <c r="F8" s="264">
        <v>19499816</v>
      </c>
      <c r="G8" s="258" t="s">
        <v>319</v>
      </c>
      <c r="H8" s="151">
        <v>43910</v>
      </c>
      <c r="I8" s="151">
        <v>44087</v>
      </c>
      <c r="J8" s="269">
        <v>0.36499999999999999</v>
      </c>
      <c r="K8" s="269">
        <v>0.67900000000000005</v>
      </c>
    </row>
    <row r="9" spans="2:11" ht="39.950000000000003" customHeight="1">
      <c r="B9" s="249" t="s">
        <v>355</v>
      </c>
      <c r="C9" s="255" t="s">
        <v>328</v>
      </c>
      <c r="D9" s="249" t="s">
        <v>338</v>
      </c>
      <c r="E9" s="264">
        <v>454486738</v>
      </c>
      <c r="F9" s="258" t="s">
        <v>71</v>
      </c>
      <c r="G9" s="258" t="s">
        <v>252</v>
      </c>
      <c r="H9" s="262">
        <v>44045</v>
      </c>
      <c r="I9" s="258" t="s">
        <v>252</v>
      </c>
      <c r="J9" s="269">
        <v>0.72599999999999998</v>
      </c>
      <c r="K9" s="269">
        <v>0.84299999999999997</v>
      </c>
    </row>
    <row r="10" spans="2:11" ht="39.950000000000003" customHeight="1">
      <c r="B10" s="249" t="s">
        <v>348</v>
      </c>
      <c r="C10" s="255" t="s">
        <v>329</v>
      </c>
      <c r="D10" s="249" t="s">
        <v>339</v>
      </c>
      <c r="E10" s="264">
        <v>170000000</v>
      </c>
      <c r="F10" s="258" t="s">
        <v>71</v>
      </c>
      <c r="G10" s="258" t="s">
        <v>392</v>
      </c>
      <c r="H10" s="262">
        <v>43536</v>
      </c>
      <c r="I10" s="259">
        <v>44218</v>
      </c>
      <c r="J10" s="269">
        <v>1</v>
      </c>
      <c r="K10" s="269">
        <v>0.93</v>
      </c>
    </row>
    <row r="11" spans="2:11" ht="39.950000000000003" customHeight="1">
      <c r="B11" s="249" t="s">
        <v>349</v>
      </c>
      <c r="C11" s="255" t="s">
        <v>330</v>
      </c>
      <c r="D11" s="249" t="s">
        <v>340</v>
      </c>
      <c r="E11" s="264">
        <v>205000000</v>
      </c>
      <c r="F11" s="258" t="s">
        <v>71</v>
      </c>
      <c r="G11" s="258" t="s">
        <v>357</v>
      </c>
      <c r="H11" s="262">
        <v>43704</v>
      </c>
      <c r="I11" s="250">
        <v>43948</v>
      </c>
      <c r="J11" s="269">
        <v>0.90200000000000002</v>
      </c>
      <c r="K11" s="269">
        <v>1.3</v>
      </c>
    </row>
    <row r="12" spans="2:11" ht="39.950000000000003" customHeight="1">
      <c r="B12" s="248" t="s">
        <v>354</v>
      </c>
      <c r="C12" s="251" t="s">
        <v>331</v>
      </c>
      <c r="D12" s="249" t="s">
        <v>341</v>
      </c>
      <c r="E12" s="264">
        <v>182201317</v>
      </c>
      <c r="F12" s="258" t="s">
        <v>71</v>
      </c>
      <c r="G12" s="258" t="s">
        <v>358</v>
      </c>
      <c r="H12" s="263">
        <v>43369</v>
      </c>
      <c r="I12" s="263">
        <v>43749</v>
      </c>
      <c r="J12" s="266">
        <v>0.95</v>
      </c>
      <c r="K12" s="266">
        <v>1.27</v>
      </c>
    </row>
    <row r="13" spans="2:11" ht="39.950000000000003" customHeight="1">
      <c r="B13" s="249" t="s">
        <v>360</v>
      </c>
      <c r="C13" s="255" t="s">
        <v>361</v>
      </c>
      <c r="D13" s="249" t="s">
        <v>362</v>
      </c>
      <c r="E13" s="264">
        <v>7770000000</v>
      </c>
      <c r="F13" s="264">
        <v>3850000000</v>
      </c>
      <c r="G13" s="258" t="s">
        <v>381</v>
      </c>
      <c r="H13" s="263">
        <v>44220</v>
      </c>
      <c r="I13" s="263">
        <v>44339</v>
      </c>
      <c r="J13" s="269">
        <v>0.14599999999999999</v>
      </c>
      <c r="K13" s="269"/>
    </row>
    <row r="14" spans="2:11" ht="39.950000000000003" customHeight="1">
      <c r="B14" s="248" t="s">
        <v>353</v>
      </c>
      <c r="C14" s="251" t="s">
        <v>332</v>
      </c>
      <c r="D14" s="248" t="s">
        <v>345</v>
      </c>
      <c r="E14" s="264">
        <v>3408385000</v>
      </c>
      <c r="F14" s="264">
        <v>1680000000</v>
      </c>
      <c r="G14" s="258" t="s">
        <v>323</v>
      </c>
      <c r="H14" s="263">
        <v>43089</v>
      </c>
      <c r="I14" s="250">
        <v>43774</v>
      </c>
      <c r="J14" s="269">
        <v>0.9</v>
      </c>
      <c r="K14" s="269">
        <v>1</v>
      </c>
    </row>
    <row r="15" spans="2:11" ht="39.950000000000003" customHeight="1">
      <c r="B15" s="248" t="s">
        <v>352</v>
      </c>
      <c r="C15" s="251" t="s">
        <v>333</v>
      </c>
      <c r="D15" s="248" t="s">
        <v>342</v>
      </c>
      <c r="E15" s="264">
        <v>233972186</v>
      </c>
      <c r="F15" s="258" t="s">
        <v>71</v>
      </c>
      <c r="G15" s="258" t="s">
        <v>319</v>
      </c>
      <c r="H15" s="151">
        <v>43923</v>
      </c>
      <c r="I15" s="151">
        <v>43952</v>
      </c>
      <c r="J15" s="266">
        <v>0.76400000000000001</v>
      </c>
      <c r="K15" s="266">
        <v>0.97499999999999998</v>
      </c>
    </row>
    <row r="16" spans="2:11" ht="39.950000000000003" customHeight="1">
      <c r="B16" s="248">
        <v>44116</v>
      </c>
      <c r="C16" s="251" t="s">
        <v>359</v>
      </c>
      <c r="D16" s="248" t="s">
        <v>343</v>
      </c>
      <c r="E16" s="264">
        <v>507261690</v>
      </c>
      <c r="F16" s="258" t="s">
        <v>71</v>
      </c>
      <c r="G16" s="258" t="s">
        <v>358</v>
      </c>
      <c r="H16" s="263">
        <v>43690</v>
      </c>
      <c r="I16" s="250">
        <v>44058</v>
      </c>
      <c r="J16" s="270">
        <v>0.6</v>
      </c>
      <c r="K16" s="270">
        <v>0.66</v>
      </c>
    </row>
    <row r="17" spans="2:11" ht="39.950000000000003" customHeight="1">
      <c r="B17" s="248" t="s">
        <v>351</v>
      </c>
      <c r="C17" s="251" t="s">
        <v>334</v>
      </c>
      <c r="D17" s="248" t="s">
        <v>344</v>
      </c>
      <c r="E17" s="264">
        <v>278847342</v>
      </c>
      <c r="F17" s="258" t="s">
        <v>71</v>
      </c>
      <c r="G17" s="258" t="s">
        <v>358</v>
      </c>
      <c r="H17" s="263">
        <v>43756</v>
      </c>
      <c r="I17" s="259">
        <v>44149</v>
      </c>
      <c r="J17" s="269">
        <v>0</v>
      </c>
      <c r="K17" s="269">
        <v>0.33</v>
      </c>
    </row>
  </sheetData>
  <mergeCells count="1">
    <mergeCell ref="B2:K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44"/>
  <sheetViews>
    <sheetView showGridLines="0" zoomScale="85" zoomScaleNormal="85" workbookViewId="0">
      <pane ySplit="6" topLeftCell="A7" activePane="bottomLeft" state="frozen"/>
      <selection pane="bottomLeft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6" width="2.85546875" style="80" customWidth="1"/>
    <col min="7" max="7" width="5.85546875" style="80" customWidth="1"/>
    <col min="8" max="8" width="2.85546875" style="80" customWidth="1"/>
    <col min="9" max="9" width="12.85546875" style="80" customWidth="1"/>
    <col min="10" max="10" width="16.7109375" style="80" customWidth="1"/>
    <col min="11" max="11" width="17.28515625" style="80" customWidth="1"/>
    <col min="12" max="12" width="19.42578125" style="80" customWidth="1"/>
    <col min="13" max="13" width="16.28515625" style="80" customWidth="1"/>
    <col min="14" max="16" width="2.85546875" style="80" customWidth="1"/>
    <col min="17" max="17" width="15.28515625" style="80" customWidth="1"/>
    <col min="18" max="18" width="10.85546875" style="80"/>
    <col min="19" max="19" width="19" style="80" customWidth="1"/>
    <col min="20" max="20" width="19.28515625" style="80" customWidth="1"/>
    <col min="21" max="21" width="17" style="80" customWidth="1"/>
    <col min="22" max="22" width="3.42578125" style="80" customWidth="1"/>
    <col min="23" max="16384" width="10.85546875" style="80"/>
  </cols>
  <sheetData>
    <row r="1" spans="2:23" ht="15" customHeight="1"/>
    <row r="2" spans="2:23" ht="1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4"/>
      <c r="Q2" s="84"/>
      <c r="R2" s="84"/>
      <c r="S2" s="84"/>
      <c r="T2" s="84"/>
      <c r="U2" s="84"/>
      <c r="V2" s="84"/>
    </row>
    <row r="3" spans="2:23" ht="15" customHeight="1">
      <c r="B3" s="85"/>
      <c r="C3" s="343"/>
      <c r="D3" s="343"/>
      <c r="E3" s="343"/>
      <c r="F3" s="343"/>
      <c r="G3" s="347" t="s">
        <v>347</v>
      </c>
      <c r="H3" s="347"/>
      <c r="I3" s="347"/>
      <c r="J3" s="347"/>
      <c r="K3" s="347"/>
      <c r="L3" s="347"/>
      <c r="M3" s="347"/>
      <c r="N3" s="347"/>
      <c r="O3" s="86"/>
      <c r="P3" s="87"/>
      <c r="Q3" s="87"/>
      <c r="R3" s="87"/>
      <c r="S3" s="87"/>
      <c r="T3" s="87"/>
      <c r="U3" s="87"/>
      <c r="V3" s="84"/>
    </row>
    <row r="4" spans="2:23" ht="15" customHeight="1">
      <c r="B4" s="85"/>
      <c r="C4" s="343"/>
      <c r="D4" s="343"/>
      <c r="E4" s="343"/>
      <c r="F4" s="343"/>
      <c r="G4" s="347"/>
      <c r="H4" s="347"/>
      <c r="I4" s="347"/>
      <c r="J4" s="347"/>
      <c r="K4" s="347"/>
      <c r="L4" s="347"/>
      <c r="M4" s="347"/>
      <c r="N4" s="347"/>
      <c r="O4" s="86"/>
      <c r="P4" s="87"/>
      <c r="Q4" s="87"/>
      <c r="R4" s="87"/>
      <c r="S4" s="87"/>
      <c r="T4" s="87"/>
      <c r="U4" s="87"/>
      <c r="V4" s="84"/>
    </row>
    <row r="5" spans="2:23" ht="15" customHeight="1">
      <c r="B5" s="85"/>
      <c r="C5" s="343"/>
      <c r="D5" s="343"/>
      <c r="E5" s="343"/>
      <c r="F5" s="343"/>
      <c r="G5" s="347"/>
      <c r="H5" s="347"/>
      <c r="I5" s="347"/>
      <c r="J5" s="347"/>
      <c r="K5" s="347"/>
      <c r="L5" s="347"/>
      <c r="M5" s="347"/>
      <c r="N5" s="347"/>
      <c r="O5" s="86"/>
      <c r="P5" s="87"/>
      <c r="Q5" s="87"/>
      <c r="R5" s="87"/>
      <c r="S5" s="87"/>
      <c r="T5" s="87"/>
      <c r="U5" s="87"/>
      <c r="V5" s="84"/>
    </row>
    <row r="6" spans="2:23" ht="15" customHeight="1">
      <c r="B6" s="85"/>
      <c r="C6" s="343"/>
      <c r="D6" s="343"/>
      <c r="E6" s="343"/>
      <c r="F6" s="343"/>
      <c r="G6" s="347"/>
      <c r="H6" s="347"/>
      <c r="I6" s="347"/>
      <c r="J6" s="347"/>
      <c r="K6" s="347"/>
      <c r="L6" s="347"/>
      <c r="M6" s="347"/>
      <c r="N6" s="347"/>
      <c r="O6" s="86"/>
      <c r="P6" s="87"/>
      <c r="Q6" s="87"/>
      <c r="R6" s="87"/>
      <c r="S6" s="87"/>
      <c r="T6" s="87"/>
      <c r="U6" s="87"/>
      <c r="V6" s="84"/>
    </row>
    <row r="7" spans="2:23" ht="15" customHeight="1">
      <c r="B7" s="85"/>
      <c r="C7" s="84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9"/>
      <c r="P7" s="88"/>
      <c r="R7" s="88"/>
      <c r="S7" s="88"/>
      <c r="T7" s="88"/>
      <c r="U7" s="88"/>
      <c r="V7" s="84"/>
    </row>
    <row r="8" spans="2:23" ht="15" customHeight="1"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3"/>
      <c r="O8" s="90"/>
      <c r="P8" s="84"/>
      <c r="V8" s="84"/>
      <c r="W8" s="84"/>
    </row>
    <row r="9" spans="2:23" ht="15" customHeight="1">
      <c r="B9" s="85"/>
      <c r="C9" s="85"/>
      <c r="D9" s="350" t="s">
        <v>56</v>
      </c>
      <c r="E9" s="350"/>
      <c r="F9" s="90"/>
      <c r="G9" s="84"/>
      <c r="H9" s="85"/>
      <c r="I9" s="350" t="s">
        <v>95</v>
      </c>
      <c r="J9" s="350"/>
      <c r="K9" s="350"/>
      <c r="L9" s="350"/>
      <c r="M9" s="350"/>
      <c r="N9" s="90"/>
      <c r="O9" s="90"/>
      <c r="P9" s="84"/>
      <c r="V9" s="84"/>
      <c r="W9" s="84"/>
    </row>
    <row r="10" spans="2:23" ht="15" customHeight="1"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90"/>
      <c r="O10" s="90"/>
      <c r="W10" s="84"/>
    </row>
    <row r="11" spans="2:23" ht="15" customHeight="1">
      <c r="B11" s="85"/>
      <c r="C11" s="85"/>
      <c r="D11" s="91" t="s">
        <v>57</v>
      </c>
      <c r="E11" s="151">
        <v>43536</v>
      </c>
      <c r="F11" s="90"/>
      <c r="G11" s="84"/>
      <c r="H11" s="85"/>
      <c r="I11" s="351" t="s">
        <v>141</v>
      </c>
      <c r="J11" s="351"/>
      <c r="K11" s="351"/>
      <c r="L11" s="351"/>
      <c r="M11" s="92">
        <v>1</v>
      </c>
      <c r="N11" s="90"/>
      <c r="O11" s="90"/>
      <c r="W11" s="84"/>
    </row>
    <row r="12" spans="2:23" ht="15" customHeight="1">
      <c r="B12" s="85"/>
      <c r="C12" s="85"/>
      <c r="D12" s="91" t="s">
        <v>58</v>
      </c>
      <c r="E12" s="151">
        <v>44218</v>
      </c>
      <c r="F12" s="90"/>
      <c r="G12" s="84"/>
      <c r="H12" s="85"/>
      <c r="I12" s="84"/>
      <c r="J12" s="84"/>
      <c r="K12" s="84"/>
      <c r="L12" s="84"/>
      <c r="M12" s="84"/>
      <c r="N12" s="90"/>
      <c r="O12" s="90"/>
      <c r="W12" s="84"/>
    </row>
    <row r="13" spans="2:23" ht="15" customHeight="1">
      <c r="B13" s="85"/>
      <c r="C13" s="85"/>
      <c r="D13" s="91" t="s">
        <v>59</v>
      </c>
      <c r="E13" s="93">
        <f>IFERROR(E12-E11,"")</f>
        <v>682</v>
      </c>
      <c r="F13" s="90"/>
      <c r="G13" s="84"/>
      <c r="H13" s="85"/>
      <c r="I13" s="354" t="s">
        <v>45</v>
      </c>
      <c r="J13" s="354"/>
      <c r="K13" s="94" t="s">
        <v>94</v>
      </c>
      <c r="L13" s="95" t="s">
        <v>87</v>
      </c>
      <c r="M13" s="95" t="s">
        <v>88</v>
      </c>
      <c r="N13" s="90"/>
      <c r="O13" s="90"/>
      <c r="W13" s="84"/>
    </row>
    <row r="14" spans="2:23" ht="15" customHeight="1">
      <c r="B14" s="85"/>
      <c r="C14" s="85"/>
      <c r="D14" s="96" t="s">
        <v>21</v>
      </c>
      <c r="E14" s="93">
        <f ca="1">TODAY()-E11</f>
        <v>576</v>
      </c>
      <c r="F14" s="90"/>
      <c r="G14" s="84"/>
      <c r="H14" s="85"/>
      <c r="I14" s="343" t="s">
        <v>93</v>
      </c>
      <c r="J14" s="343"/>
      <c r="K14" s="97">
        <v>500</v>
      </c>
      <c r="L14" s="153">
        <v>467</v>
      </c>
      <c r="M14" s="98">
        <f>+L14/K14</f>
        <v>0.93400000000000005</v>
      </c>
      <c r="N14" s="90"/>
      <c r="O14" s="90"/>
      <c r="W14" s="84"/>
    </row>
    <row r="15" spans="2:23" ht="15" customHeight="1">
      <c r="B15" s="85"/>
      <c r="C15" s="85"/>
      <c r="D15" s="84"/>
      <c r="E15" s="84"/>
      <c r="F15" s="90"/>
      <c r="G15" s="84"/>
      <c r="H15" s="85"/>
      <c r="I15" s="84"/>
      <c r="J15" s="84"/>
      <c r="K15" s="84"/>
      <c r="L15" s="84"/>
      <c r="M15" s="88"/>
      <c r="N15" s="90"/>
      <c r="O15" s="90"/>
      <c r="W15" s="84"/>
    </row>
    <row r="16" spans="2:23" ht="15" customHeight="1">
      <c r="B16" s="85"/>
      <c r="C16" s="85"/>
      <c r="D16" s="145" t="s">
        <v>56</v>
      </c>
      <c r="E16" s="158">
        <f ca="1">IFERROR(IF((E14/E13)&gt;100%,100%,(E14/E13)),"")</f>
        <v>0.84457478005865105</v>
      </c>
      <c r="F16" s="90"/>
      <c r="G16" s="84"/>
      <c r="H16" s="85"/>
      <c r="I16" s="353" t="s">
        <v>96</v>
      </c>
      <c r="J16" s="353"/>
      <c r="K16" s="353"/>
      <c r="L16" s="145">
        <f>SUM(L14:L15)</f>
        <v>467</v>
      </c>
      <c r="M16" s="146">
        <f>M14</f>
        <v>0.93400000000000005</v>
      </c>
      <c r="N16" s="90"/>
      <c r="O16" s="90"/>
      <c r="W16" s="84"/>
    </row>
    <row r="17" spans="2:23" ht="15" customHeight="1">
      <c r="B17" s="85"/>
      <c r="C17" s="99"/>
      <c r="D17" s="100"/>
      <c r="E17" s="100"/>
      <c r="F17" s="101"/>
      <c r="G17" s="84"/>
      <c r="H17" s="99"/>
      <c r="I17" s="100"/>
      <c r="J17" s="100"/>
      <c r="K17" s="100"/>
      <c r="L17" s="100"/>
      <c r="M17" s="100"/>
      <c r="N17" s="101"/>
      <c r="O17" s="90"/>
      <c r="W17" s="84"/>
    </row>
    <row r="18" spans="2:23" ht="15" customHeight="1">
      <c r="B18" s="85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90"/>
      <c r="Q18" s="271"/>
      <c r="W18" s="84"/>
    </row>
    <row r="19" spans="2:23" ht="15" customHeight="1">
      <c r="B19" s="85"/>
      <c r="C19" s="81"/>
      <c r="D19" s="82"/>
      <c r="E19" s="82"/>
      <c r="F19" s="83"/>
      <c r="G19" s="84"/>
      <c r="H19" s="81"/>
      <c r="I19" s="82"/>
      <c r="J19" s="82"/>
      <c r="K19" s="82"/>
      <c r="L19" s="82"/>
      <c r="M19" s="82"/>
      <c r="N19" s="83"/>
      <c r="O19" s="90"/>
      <c r="V19" s="84"/>
      <c r="W19" s="84"/>
    </row>
    <row r="20" spans="2:23" ht="15" customHeight="1">
      <c r="B20" s="85"/>
      <c r="C20" s="85"/>
      <c r="D20" s="350" t="s">
        <v>60</v>
      </c>
      <c r="E20" s="350"/>
      <c r="F20" s="90"/>
      <c r="G20" s="84"/>
      <c r="H20" s="85"/>
      <c r="I20" s="348" t="s">
        <v>89</v>
      </c>
      <c r="J20" s="348"/>
      <c r="K20" s="348"/>
      <c r="L20" s="348"/>
      <c r="M20" s="349">
        <f>M16</f>
        <v>0.93400000000000005</v>
      </c>
      <c r="N20" s="90"/>
      <c r="O20" s="90"/>
      <c r="V20" s="84"/>
      <c r="W20" s="84"/>
    </row>
    <row r="21" spans="2:23" ht="15" customHeight="1">
      <c r="B21" s="85"/>
      <c r="C21" s="85"/>
      <c r="D21" s="84"/>
      <c r="E21" s="84"/>
      <c r="F21" s="90"/>
      <c r="G21" s="84"/>
      <c r="H21" s="85"/>
      <c r="I21" s="348"/>
      <c r="J21" s="348"/>
      <c r="K21" s="348"/>
      <c r="L21" s="348"/>
      <c r="M21" s="349"/>
      <c r="N21" s="90"/>
      <c r="O21" s="90"/>
      <c r="V21" s="84"/>
      <c r="W21" s="84"/>
    </row>
    <row r="22" spans="2:23" ht="15" customHeight="1">
      <c r="B22" s="85"/>
      <c r="C22" s="85"/>
      <c r="D22" s="275" t="s">
        <v>69</v>
      </c>
      <c r="E22" s="102">
        <v>171000000</v>
      </c>
      <c r="F22" s="90"/>
      <c r="G22" s="84"/>
      <c r="H22" s="99"/>
      <c r="I22" s="100"/>
      <c r="J22" s="100"/>
      <c r="K22" s="100"/>
      <c r="L22" s="100"/>
      <c r="M22" s="100"/>
      <c r="N22" s="101"/>
      <c r="O22" s="90"/>
      <c r="V22" s="84"/>
      <c r="W22" s="84"/>
    </row>
    <row r="23" spans="2:23" ht="15" customHeight="1">
      <c r="B23" s="85"/>
      <c r="C23" s="85"/>
      <c r="D23" s="84"/>
      <c r="E23" s="84"/>
      <c r="F23" s="90"/>
      <c r="G23" s="84"/>
      <c r="H23" s="84"/>
      <c r="I23" s="84"/>
      <c r="J23" s="84"/>
      <c r="K23" s="84"/>
      <c r="L23" s="84"/>
      <c r="M23" s="84"/>
      <c r="N23" s="84"/>
      <c r="O23" s="90"/>
      <c r="V23" s="84"/>
      <c r="W23" s="84"/>
    </row>
    <row r="24" spans="2:23" ht="15" customHeight="1">
      <c r="B24" s="85"/>
      <c r="C24" s="85"/>
      <c r="D24" s="275" t="s">
        <v>61</v>
      </c>
      <c r="E24" s="152">
        <v>51300000</v>
      </c>
      <c r="F24" s="90"/>
      <c r="G24" s="84"/>
      <c r="H24" s="81"/>
      <c r="I24" s="82"/>
      <c r="J24" s="82"/>
      <c r="K24" s="82"/>
      <c r="L24" s="82"/>
      <c r="M24" s="82"/>
      <c r="N24" s="83"/>
      <c r="O24" s="90"/>
      <c r="V24" s="84"/>
      <c r="W24" s="84"/>
    </row>
    <row r="25" spans="2:23" ht="15" customHeight="1">
      <c r="B25" s="85"/>
      <c r="C25" s="85"/>
      <c r="D25" s="275" t="s">
        <v>62</v>
      </c>
      <c r="E25" s="152">
        <v>59850000</v>
      </c>
      <c r="F25" s="90"/>
      <c r="G25" s="84"/>
      <c r="H25" s="85"/>
      <c r="I25" s="352" t="s">
        <v>90</v>
      </c>
      <c r="J25" s="352"/>
      <c r="K25" s="352"/>
      <c r="L25" s="352"/>
      <c r="M25" s="352"/>
      <c r="N25" s="90"/>
      <c r="O25" s="90"/>
      <c r="V25" s="84"/>
      <c r="W25" s="84"/>
    </row>
    <row r="26" spans="2:23" ht="15" customHeight="1">
      <c r="B26" s="85"/>
      <c r="C26" s="85"/>
      <c r="D26" s="275" t="s">
        <v>63</v>
      </c>
      <c r="E26" s="152">
        <v>59850000</v>
      </c>
      <c r="F26" s="90"/>
      <c r="G26" s="84"/>
      <c r="H26" s="99"/>
      <c r="I26" s="100"/>
      <c r="J26" s="100"/>
      <c r="K26" s="100"/>
      <c r="L26" s="100"/>
      <c r="M26" s="100"/>
      <c r="N26" s="101"/>
      <c r="O26" s="90"/>
      <c r="V26" s="84"/>
      <c r="W26" s="84"/>
    </row>
    <row r="27" spans="2:23" ht="15" customHeight="1">
      <c r="B27" s="85"/>
      <c r="C27" s="85"/>
      <c r="D27" s="84"/>
      <c r="E27" s="84"/>
      <c r="F27" s="90"/>
      <c r="G27" s="84"/>
      <c r="H27" s="84"/>
      <c r="I27" s="84"/>
      <c r="J27" s="84"/>
      <c r="K27" s="84"/>
      <c r="L27" s="84"/>
      <c r="M27" s="84"/>
      <c r="N27" s="84"/>
      <c r="O27" s="90"/>
      <c r="V27" s="84"/>
      <c r="W27" s="84"/>
    </row>
    <row r="28" spans="2:23" ht="15" customHeight="1">
      <c r="B28" s="85"/>
      <c r="C28" s="85"/>
      <c r="D28" s="103" t="s">
        <v>70</v>
      </c>
      <c r="E28" s="104">
        <f>SUM(E24:E26)</f>
        <v>171000000</v>
      </c>
      <c r="F28" s="90"/>
      <c r="G28" s="84"/>
      <c r="H28" s="81"/>
      <c r="I28" s="82"/>
      <c r="J28" s="82"/>
      <c r="K28" s="82"/>
      <c r="L28" s="82"/>
      <c r="M28" s="82"/>
      <c r="N28" s="83"/>
      <c r="O28" s="90"/>
      <c r="V28" s="84"/>
      <c r="W28" s="84"/>
    </row>
    <row r="29" spans="2:23" ht="15" customHeight="1">
      <c r="B29" s="85"/>
      <c r="C29" s="85"/>
      <c r="D29" s="84"/>
      <c r="E29" s="84"/>
      <c r="F29" s="90"/>
      <c r="G29" s="84"/>
      <c r="H29" s="85"/>
      <c r="I29" s="349" t="s">
        <v>369</v>
      </c>
      <c r="J29" s="349"/>
      <c r="K29" s="349"/>
      <c r="L29" s="349"/>
      <c r="M29" s="349"/>
      <c r="N29" s="90"/>
      <c r="O29" s="90"/>
      <c r="V29" s="84"/>
      <c r="W29" s="84"/>
    </row>
    <row r="30" spans="2:23" ht="15" customHeight="1">
      <c r="B30" s="85"/>
      <c r="C30" s="85"/>
      <c r="D30" s="276" t="s">
        <v>60</v>
      </c>
      <c r="E30" s="277">
        <f>E28/E22</f>
        <v>1</v>
      </c>
      <c r="F30" s="90"/>
      <c r="G30" s="84"/>
      <c r="H30" s="85"/>
      <c r="I30" s="355"/>
      <c r="J30" s="355"/>
      <c r="K30" s="355"/>
      <c r="L30" s="355"/>
      <c r="M30" s="355"/>
      <c r="N30" s="90"/>
      <c r="O30" s="90"/>
    </row>
    <row r="31" spans="2:23" ht="15" customHeight="1">
      <c r="B31" s="85"/>
      <c r="C31" s="85"/>
      <c r="D31" s="84"/>
      <c r="E31" s="84"/>
      <c r="F31" s="90"/>
      <c r="G31" s="84"/>
      <c r="H31" s="85"/>
      <c r="I31" s="343"/>
      <c r="J31" s="343"/>
      <c r="K31" s="343"/>
      <c r="L31" s="343"/>
      <c r="M31" s="343"/>
      <c r="N31" s="90"/>
      <c r="O31" s="90"/>
    </row>
    <row r="32" spans="2:23" ht="15" customHeight="1">
      <c r="B32" s="85"/>
      <c r="C32" s="85"/>
      <c r="D32" s="350" t="s">
        <v>366</v>
      </c>
      <c r="E32" s="350"/>
      <c r="F32" s="90"/>
      <c r="G32" s="84"/>
      <c r="H32" s="85"/>
      <c r="I32" s="343"/>
      <c r="J32" s="343"/>
      <c r="K32" s="343"/>
      <c r="L32" s="343"/>
      <c r="M32" s="343"/>
      <c r="N32" s="90"/>
      <c r="O32" s="90"/>
    </row>
    <row r="33" spans="2:15">
      <c r="B33" s="85"/>
      <c r="C33" s="85"/>
      <c r="D33" s="84"/>
      <c r="E33" s="84"/>
      <c r="F33" s="90"/>
      <c r="G33" s="84"/>
      <c r="H33" s="85"/>
      <c r="I33" s="343"/>
      <c r="J33" s="343"/>
      <c r="K33" s="343"/>
      <c r="L33" s="343"/>
      <c r="M33" s="343"/>
      <c r="N33" s="90"/>
      <c r="O33" s="90"/>
    </row>
    <row r="34" spans="2:15" ht="33.950000000000003" customHeight="1">
      <c r="B34" s="85"/>
      <c r="C34" s="85"/>
      <c r="D34" s="281" t="s">
        <v>57</v>
      </c>
      <c r="E34" s="151">
        <v>43901</v>
      </c>
      <c r="F34" s="90"/>
      <c r="G34" s="84"/>
      <c r="H34" s="99"/>
      <c r="I34" s="100"/>
      <c r="J34" s="100"/>
      <c r="K34" s="100"/>
      <c r="L34" s="100"/>
      <c r="M34" s="100"/>
      <c r="N34" s="101"/>
      <c r="O34" s="90"/>
    </row>
    <row r="35" spans="2:15" ht="15" customHeight="1">
      <c r="B35" s="85"/>
      <c r="C35" s="85"/>
      <c r="D35" s="281" t="s">
        <v>367</v>
      </c>
      <c r="E35" s="151">
        <v>44054</v>
      </c>
      <c r="F35" s="90"/>
      <c r="G35" s="84"/>
      <c r="H35" s="84"/>
      <c r="I35" s="84"/>
      <c r="J35" s="84"/>
      <c r="K35" s="84"/>
      <c r="L35" s="84"/>
      <c r="M35" s="84"/>
      <c r="N35" s="84"/>
      <c r="O35" s="90"/>
    </row>
    <row r="36" spans="2:15">
      <c r="B36" s="85"/>
      <c r="C36" s="85"/>
      <c r="D36" s="281" t="s">
        <v>368</v>
      </c>
      <c r="E36" s="93">
        <v>5</v>
      </c>
      <c r="F36" s="90"/>
      <c r="G36" s="84"/>
      <c r="H36" s="84"/>
      <c r="I36" s="84"/>
      <c r="J36" s="84"/>
      <c r="K36" s="84"/>
      <c r="L36" s="84"/>
      <c r="M36" s="84"/>
      <c r="N36" s="84"/>
      <c r="O36" s="90"/>
    </row>
    <row r="37" spans="2:15">
      <c r="B37" s="85"/>
      <c r="C37" s="99"/>
      <c r="D37" s="100"/>
      <c r="E37" s="100"/>
      <c r="F37" s="101"/>
      <c r="G37" s="84"/>
      <c r="H37" s="84"/>
      <c r="I37" s="84"/>
      <c r="J37" s="84"/>
      <c r="K37" s="84"/>
      <c r="L37" s="84"/>
      <c r="M37" s="84"/>
      <c r="N37" s="84"/>
      <c r="O37" s="90"/>
    </row>
    <row r="38" spans="2:15">
      <c r="B38" s="8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90"/>
    </row>
    <row r="39" spans="2:15" ht="30">
      <c r="B39" s="85"/>
      <c r="C39" s="84"/>
      <c r="D39" s="344" t="s">
        <v>222</v>
      </c>
      <c r="E39" s="345"/>
      <c r="F39" s="344" t="s">
        <v>221</v>
      </c>
      <c r="G39" s="356"/>
      <c r="H39" s="356"/>
      <c r="I39" s="345"/>
      <c r="J39" s="226" t="s">
        <v>223</v>
      </c>
      <c r="K39" s="226" t="s">
        <v>224</v>
      </c>
      <c r="L39" s="226" t="s">
        <v>225</v>
      </c>
      <c r="M39" s="232" t="s">
        <v>226</v>
      </c>
      <c r="N39" s="234"/>
      <c r="O39" s="90"/>
    </row>
    <row r="40" spans="2:15">
      <c r="B40" s="85"/>
      <c r="C40" s="84"/>
      <c r="D40" s="346" t="s">
        <v>227</v>
      </c>
      <c r="E40" s="346"/>
      <c r="F40" s="343" t="s">
        <v>228</v>
      </c>
      <c r="G40" s="343"/>
      <c r="H40" s="343"/>
      <c r="I40" s="343"/>
      <c r="J40" s="225">
        <v>250</v>
      </c>
      <c r="K40" s="225">
        <v>419</v>
      </c>
      <c r="L40" s="98">
        <f>+J40/K14</f>
        <v>0.5</v>
      </c>
      <c r="M40" s="228">
        <v>0.69799999999999995</v>
      </c>
      <c r="N40" s="84"/>
      <c r="O40" s="90"/>
    </row>
    <row r="41" spans="2:15"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1"/>
    </row>
    <row r="42" spans="2:15">
      <c r="C42" s="84"/>
      <c r="D42" s="84"/>
      <c r="E42" s="84"/>
      <c r="F42" s="84"/>
      <c r="H42" s="84"/>
      <c r="I42" s="84"/>
      <c r="J42" s="84"/>
      <c r="K42" s="84"/>
      <c r="L42" s="84"/>
      <c r="M42" s="84"/>
      <c r="N42" s="84"/>
    </row>
    <row r="43" spans="2:15">
      <c r="C43" s="84"/>
      <c r="D43" s="84"/>
      <c r="E43" s="84"/>
      <c r="F43" s="84"/>
      <c r="H43" s="84"/>
      <c r="I43" s="84"/>
      <c r="J43" s="84"/>
      <c r="K43" s="84"/>
      <c r="L43" s="84"/>
      <c r="M43" s="84"/>
      <c r="N43" s="84"/>
    </row>
    <row r="44" spans="2:15">
      <c r="C44" s="84"/>
      <c r="D44" s="84"/>
      <c r="E44" s="84"/>
      <c r="F44" s="84"/>
    </row>
  </sheetData>
  <sheetProtection selectLockedCells="1" selectUnlockedCells="1"/>
  <mergeCells count="20">
    <mergeCell ref="I29:M29"/>
    <mergeCell ref="I30:M30"/>
    <mergeCell ref="I31:M33"/>
    <mergeCell ref="F39:I39"/>
    <mergeCell ref="F40:I40"/>
    <mergeCell ref="D39:E39"/>
    <mergeCell ref="D40:E40"/>
    <mergeCell ref="C3:F6"/>
    <mergeCell ref="G3:N6"/>
    <mergeCell ref="I20:L21"/>
    <mergeCell ref="M20:M21"/>
    <mergeCell ref="D9:E9"/>
    <mergeCell ref="I9:M9"/>
    <mergeCell ref="I11:L11"/>
    <mergeCell ref="I25:M25"/>
    <mergeCell ref="I14:J14"/>
    <mergeCell ref="I16:K16"/>
    <mergeCell ref="I13:J13"/>
    <mergeCell ref="D20:E20"/>
    <mergeCell ref="D32:E32"/>
  </mergeCells>
  <hyperlinks>
    <hyperlink ref="I25:M25" location="GRAFICAS!H6" display="CLICK - GRAFICA DASHBOARD 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B1:W51"/>
  <sheetViews>
    <sheetView showGridLines="0" showRowColHeaders="0" zoomScaleNormal="100" workbookViewId="0">
      <pane ySplit="6" topLeftCell="A10" activePane="bottomLeft" state="frozen"/>
      <selection pane="bottomLeft" activeCell="R12" sqref="R12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8" width="2.85546875" style="80" customWidth="1"/>
    <col min="9" max="9" width="17.85546875" style="80" customWidth="1"/>
    <col min="10" max="10" width="21.140625" style="80" customWidth="1"/>
    <col min="11" max="13" width="20.7109375" style="80" customWidth="1"/>
    <col min="14" max="17" width="2.85546875" style="80" customWidth="1"/>
    <col min="18" max="18" width="10.85546875" style="80"/>
    <col min="19" max="19" width="19" style="80" customWidth="1"/>
    <col min="20" max="20" width="19.28515625" style="80" customWidth="1"/>
    <col min="21" max="21" width="17" style="80" customWidth="1"/>
    <col min="22" max="22" width="3.42578125" style="80" customWidth="1"/>
    <col min="23" max="16384" width="10.85546875" style="80"/>
  </cols>
  <sheetData>
    <row r="1" spans="2:23" ht="15" customHeight="1"/>
    <row r="2" spans="2:23" ht="1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3"/>
      <c r="P2" s="84"/>
      <c r="Q2" s="84"/>
      <c r="R2" s="84"/>
      <c r="S2" s="84"/>
      <c r="T2" s="84"/>
      <c r="U2" s="84"/>
      <c r="V2" s="84"/>
    </row>
    <row r="3" spans="2:23" ht="15" customHeight="1">
      <c r="B3" s="85"/>
      <c r="C3" s="343"/>
      <c r="D3" s="343"/>
      <c r="E3" s="343"/>
      <c r="F3" s="343"/>
      <c r="G3" s="357" t="s">
        <v>253</v>
      </c>
      <c r="H3" s="357"/>
      <c r="I3" s="357"/>
      <c r="J3" s="357"/>
      <c r="K3" s="357"/>
      <c r="L3" s="357"/>
      <c r="M3" s="357"/>
      <c r="N3" s="357"/>
      <c r="O3" s="86"/>
      <c r="P3" s="87"/>
      <c r="Q3" s="87"/>
      <c r="R3" s="87"/>
      <c r="S3" s="87"/>
      <c r="T3" s="87"/>
      <c r="U3" s="87"/>
      <c r="V3" s="84"/>
    </row>
    <row r="4" spans="2:23" ht="15" customHeight="1">
      <c r="B4" s="85"/>
      <c r="C4" s="343"/>
      <c r="D4" s="343"/>
      <c r="E4" s="343"/>
      <c r="F4" s="343"/>
      <c r="G4" s="357"/>
      <c r="H4" s="357"/>
      <c r="I4" s="357"/>
      <c r="J4" s="357"/>
      <c r="K4" s="357"/>
      <c r="L4" s="357"/>
      <c r="M4" s="357"/>
      <c r="N4" s="357"/>
      <c r="O4" s="86"/>
      <c r="P4" s="87"/>
      <c r="Q4" s="87"/>
      <c r="R4" s="87"/>
      <c r="S4" s="87"/>
      <c r="T4" s="87"/>
      <c r="U4" s="87"/>
      <c r="V4" s="84"/>
    </row>
    <row r="5" spans="2:23" ht="15" customHeight="1">
      <c r="B5" s="85"/>
      <c r="C5" s="343"/>
      <c r="D5" s="343"/>
      <c r="E5" s="343"/>
      <c r="F5" s="343"/>
      <c r="G5" s="357"/>
      <c r="H5" s="357"/>
      <c r="I5" s="357"/>
      <c r="J5" s="357"/>
      <c r="K5" s="357"/>
      <c r="L5" s="357"/>
      <c r="M5" s="357"/>
      <c r="N5" s="357"/>
      <c r="O5" s="86"/>
      <c r="P5" s="87"/>
      <c r="Q5" s="87"/>
      <c r="R5" s="87"/>
      <c r="S5" s="87"/>
      <c r="T5" s="87"/>
      <c r="U5" s="87"/>
      <c r="V5" s="84"/>
    </row>
    <row r="6" spans="2:23" ht="15" customHeight="1">
      <c r="B6" s="85"/>
      <c r="C6" s="343"/>
      <c r="D6" s="343"/>
      <c r="E6" s="343"/>
      <c r="F6" s="343"/>
      <c r="G6" s="357"/>
      <c r="H6" s="357"/>
      <c r="I6" s="357"/>
      <c r="J6" s="357"/>
      <c r="K6" s="357"/>
      <c r="L6" s="357"/>
      <c r="M6" s="357"/>
      <c r="N6" s="357"/>
      <c r="O6" s="86"/>
      <c r="P6" s="87"/>
      <c r="Q6" s="87"/>
      <c r="R6" s="87"/>
      <c r="S6" s="87"/>
      <c r="T6" s="87"/>
      <c r="U6" s="87"/>
      <c r="V6" s="84"/>
    </row>
    <row r="7" spans="2:23" ht="15" customHeight="1">
      <c r="B7" s="85"/>
      <c r="C7" s="84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1"/>
      <c r="P7" s="88"/>
      <c r="Q7" s="88"/>
      <c r="R7" s="88"/>
      <c r="S7" s="88"/>
      <c r="T7" s="88"/>
      <c r="U7" s="88"/>
      <c r="V7" s="84"/>
    </row>
    <row r="8" spans="2:23" ht="15" customHeight="1"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3"/>
      <c r="O8" s="90"/>
      <c r="P8" s="84"/>
      <c r="V8" s="84"/>
      <c r="W8" s="84"/>
    </row>
    <row r="9" spans="2:23" ht="15" customHeight="1">
      <c r="B9" s="85"/>
      <c r="C9" s="85"/>
      <c r="D9" s="350" t="s">
        <v>56</v>
      </c>
      <c r="E9" s="350"/>
      <c r="F9" s="90"/>
      <c r="G9" s="84"/>
      <c r="H9" s="85"/>
      <c r="I9" s="350" t="s">
        <v>134</v>
      </c>
      <c r="J9" s="350"/>
      <c r="K9" s="350"/>
      <c r="L9" s="350"/>
      <c r="M9" s="350"/>
      <c r="N9" s="90"/>
      <c r="O9" s="90"/>
      <c r="P9" s="84"/>
      <c r="V9" s="84"/>
      <c r="W9" s="84"/>
    </row>
    <row r="10" spans="2:23" ht="15" customHeight="1"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90"/>
      <c r="O10" s="90"/>
      <c r="W10" s="84"/>
    </row>
    <row r="11" spans="2:23" ht="15" customHeight="1">
      <c r="B11" s="85"/>
      <c r="C11" s="85"/>
      <c r="D11" s="199" t="s">
        <v>57</v>
      </c>
      <c r="E11" s="151">
        <v>43704</v>
      </c>
      <c r="F11" s="90"/>
      <c r="G11" s="84"/>
      <c r="H11" s="85"/>
      <c r="I11" s="351" t="s">
        <v>92</v>
      </c>
      <c r="J11" s="351"/>
      <c r="K11" s="351"/>
      <c r="L11" s="351"/>
      <c r="M11" s="92">
        <v>1</v>
      </c>
      <c r="N11" s="90"/>
      <c r="O11" s="90"/>
      <c r="W11" s="84"/>
    </row>
    <row r="12" spans="2:23" ht="15" customHeight="1">
      <c r="B12" s="85"/>
      <c r="C12" s="85"/>
      <c r="D12" s="199" t="s">
        <v>58</v>
      </c>
      <c r="E12" s="151">
        <v>43947</v>
      </c>
      <c r="F12" s="90"/>
      <c r="G12" s="84"/>
      <c r="H12" s="85"/>
      <c r="I12" s="100"/>
      <c r="J12" s="100"/>
      <c r="K12" s="100"/>
      <c r="L12" s="100"/>
      <c r="M12" s="100"/>
      <c r="N12" s="90"/>
      <c r="O12" s="90"/>
      <c r="R12" s="272" t="s">
        <v>363</v>
      </c>
      <c r="W12" s="84"/>
    </row>
    <row r="13" spans="2:23" ht="15" customHeight="1">
      <c r="B13" s="85"/>
      <c r="C13" s="85"/>
      <c r="D13" s="199" t="s">
        <v>59</v>
      </c>
      <c r="E13" s="93">
        <f>E12-E11</f>
        <v>243</v>
      </c>
      <c r="F13" s="90"/>
      <c r="G13" s="84"/>
      <c r="H13" s="85"/>
      <c r="I13" s="358" t="s">
        <v>45</v>
      </c>
      <c r="J13" s="359"/>
      <c r="K13" s="362" t="s">
        <v>151</v>
      </c>
      <c r="L13" s="364" t="s">
        <v>190</v>
      </c>
      <c r="M13" s="364" t="s">
        <v>88</v>
      </c>
      <c r="N13" s="90"/>
      <c r="O13" s="90"/>
      <c r="W13" s="84"/>
    </row>
    <row r="14" spans="2:23" ht="15" customHeight="1">
      <c r="B14" s="85"/>
      <c r="C14" s="85"/>
      <c r="D14" s="96" t="s">
        <v>21</v>
      </c>
      <c r="E14" s="93">
        <f ca="1">TODAY()-E11</f>
        <v>408</v>
      </c>
      <c r="F14" s="90"/>
      <c r="G14" s="84"/>
      <c r="H14" s="85"/>
      <c r="I14" s="360"/>
      <c r="J14" s="361"/>
      <c r="K14" s="363"/>
      <c r="L14" s="365"/>
      <c r="M14" s="365"/>
      <c r="N14" s="90"/>
      <c r="O14" s="90"/>
      <c r="W14" s="84"/>
    </row>
    <row r="15" spans="2:23" ht="15" customHeight="1">
      <c r="B15" s="85"/>
      <c r="C15" s="85"/>
      <c r="D15" s="84"/>
      <c r="E15" s="84"/>
      <c r="F15" s="90"/>
      <c r="G15" s="84"/>
      <c r="H15" s="85"/>
      <c r="I15" s="366" t="s">
        <v>150</v>
      </c>
      <c r="J15" s="366"/>
      <c r="K15" s="196">
        <v>76</v>
      </c>
      <c r="L15" s="198">
        <v>99</v>
      </c>
      <c r="M15" s="98">
        <f>+L15/K15</f>
        <v>1.3026315789473684</v>
      </c>
      <c r="N15" s="90"/>
      <c r="O15" s="90"/>
      <c r="W15" s="84"/>
    </row>
    <row r="16" spans="2:23" ht="15" customHeight="1">
      <c r="B16" s="85"/>
      <c r="C16" s="85"/>
      <c r="D16" s="195" t="s">
        <v>56</v>
      </c>
      <c r="E16" s="197">
        <f ca="1">IF((E14/E13)&gt;100%,100%,(E14/E13))</f>
        <v>1</v>
      </c>
      <c r="F16" s="90"/>
      <c r="G16" s="84"/>
      <c r="H16" s="85"/>
      <c r="I16" s="84"/>
      <c r="J16" s="84"/>
      <c r="K16" s="84"/>
      <c r="L16" s="84"/>
      <c r="M16" s="200"/>
      <c r="N16" s="90"/>
      <c r="O16" s="90"/>
      <c r="W16" s="84"/>
    </row>
    <row r="17" spans="2:23" ht="15" customHeight="1">
      <c r="B17" s="85"/>
      <c r="C17" s="99"/>
      <c r="D17" s="100"/>
      <c r="E17" s="100"/>
      <c r="F17" s="101"/>
      <c r="G17" s="84"/>
      <c r="H17" s="85"/>
      <c r="I17" s="367" t="s">
        <v>96</v>
      </c>
      <c r="J17" s="367"/>
      <c r="K17" s="367"/>
      <c r="L17" s="195">
        <f>SUM(L15:L16)</f>
        <v>99</v>
      </c>
      <c r="M17" s="197">
        <f>(L15/K15)*M11</f>
        <v>1.3026315789473684</v>
      </c>
      <c r="N17" s="90"/>
      <c r="O17" s="90"/>
      <c r="W17" s="84"/>
    </row>
    <row r="18" spans="2:23" ht="15" customHeight="1">
      <c r="B18" s="85"/>
      <c r="C18" s="84"/>
      <c r="D18" s="84"/>
      <c r="E18" s="84"/>
      <c r="F18" s="84"/>
      <c r="G18" s="84"/>
      <c r="H18" s="99"/>
      <c r="I18" s="100"/>
      <c r="J18" s="100"/>
      <c r="K18" s="100"/>
      <c r="L18" s="100"/>
      <c r="M18" s="100"/>
      <c r="N18" s="101"/>
      <c r="O18" s="90"/>
      <c r="W18" s="84"/>
    </row>
    <row r="19" spans="2:23" ht="15" customHeight="1">
      <c r="B19" s="85"/>
      <c r="C19" s="81"/>
      <c r="D19" s="82"/>
      <c r="E19" s="82"/>
      <c r="F19" s="83"/>
      <c r="G19" s="84"/>
      <c r="H19" s="84"/>
      <c r="I19" s="84"/>
      <c r="J19" s="84"/>
      <c r="K19" s="84"/>
      <c r="L19" s="84"/>
      <c r="M19" s="84"/>
      <c r="N19" s="84"/>
      <c r="O19" s="90"/>
      <c r="W19" s="84"/>
    </row>
    <row r="20" spans="2:23" ht="15" customHeight="1">
      <c r="B20" s="85"/>
      <c r="C20" s="85"/>
      <c r="D20" s="350" t="s">
        <v>60</v>
      </c>
      <c r="E20" s="350"/>
      <c r="F20" s="90"/>
      <c r="G20" s="84"/>
      <c r="H20" s="81"/>
      <c r="I20" s="82"/>
      <c r="J20" s="82"/>
      <c r="K20" s="82"/>
      <c r="L20" s="82"/>
      <c r="M20" s="82"/>
      <c r="N20" s="83"/>
      <c r="O20" s="90"/>
      <c r="W20" s="84"/>
    </row>
    <row r="21" spans="2:23" ht="15" customHeight="1">
      <c r="B21" s="85"/>
      <c r="C21" s="85"/>
      <c r="D21" s="84"/>
      <c r="E21" s="84"/>
      <c r="F21" s="90"/>
      <c r="G21" s="84"/>
      <c r="H21" s="85"/>
      <c r="I21" s="350" t="s">
        <v>134</v>
      </c>
      <c r="J21" s="350"/>
      <c r="K21" s="350"/>
      <c r="L21" s="350"/>
      <c r="M21" s="350"/>
      <c r="N21" s="90"/>
      <c r="O21" s="90"/>
      <c r="W21" s="84"/>
    </row>
    <row r="22" spans="2:23" ht="15" customHeight="1">
      <c r="B22" s="85"/>
      <c r="C22" s="85"/>
      <c r="D22" s="196" t="s">
        <v>69</v>
      </c>
      <c r="E22" s="102">
        <v>205000000</v>
      </c>
      <c r="F22" s="90"/>
      <c r="G22" s="84"/>
      <c r="H22" s="85"/>
      <c r="I22" s="84"/>
      <c r="J22" s="84"/>
      <c r="K22" s="84"/>
      <c r="L22" s="84"/>
      <c r="M22" s="84"/>
      <c r="N22" s="90"/>
      <c r="O22" s="90"/>
      <c r="W22" s="84"/>
    </row>
    <row r="23" spans="2:23" ht="15" customHeight="1">
      <c r="B23" s="85"/>
      <c r="C23" s="85"/>
      <c r="D23" s="84"/>
      <c r="E23" s="84"/>
      <c r="F23" s="90"/>
      <c r="G23" s="84"/>
      <c r="H23" s="85"/>
      <c r="I23" s="351" t="s">
        <v>92</v>
      </c>
      <c r="J23" s="351"/>
      <c r="K23" s="351"/>
      <c r="L23" s="351"/>
      <c r="M23" s="92" t="s">
        <v>209</v>
      </c>
      <c r="N23" s="90"/>
      <c r="O23" s="90"/>
      <c r="W23" s="84"/>
    </row>
    <row r="24" spans="2:23" ht="15" customHeight="1">
      <c r="B24" s="85"/>
      <c r="C24" s="85"/>
      <c r="D24" s="196" t="s">
        <v>61</v>
      </c>
      <c r="E24" s="152">
        <v>102500000</v>
      </c>
      <c r="F24" s="90"/>
      <c r="G24" s="84"/>
      <c r="H24" s="85"/>
      <c r="I24" s="100"/>
      <c r="J24" s="100"/>
      <c r="K24" s="100"/>
      <c r="L24" s="100"/>
      <c r="M24" s="100"/>
      <c r="N24" s="90"/>
      <c r="O24" s="90"/>
      <c r="W24" s="84"/>
    </row>
    <row r="25" spans="2:23" ht="15" customHeight="1">
      <c r="B25" s="85"/>
      <c r="C25" s="85"/>
      <c r="D25" s="196" t="s">
        <v>62</v>
      </c>
      <c r="E25" s="152">
        <v>82000000</v>
      </c>
      <c r="F25" s="90"/>
      <c r="G25" s="84"/>
      <c r="H25" s="85"/>
      <c r="I25" s="358" t="s">
        <v>45</v>
      </c>
      <c r="J25" s="359"/>
      <c r="K25" s="362" t="s">
        <v>205</v>
      </c>
      <c r="L25" s="364" t="s">
        <v>206</v>
      </c>
      <c r="M25" s="364" t="s">
        <v>88</v>
      </c>
      <c r="N25" s="90"/>
      <c r="O25" s="90"/>
      <c r="W25" s="84"/>
    </row>
    <row r="26" spans="2:23" ht="15" customHeight="1">
      <c r="B26" s="85"/>
      <c r="C26" s="85"/>
      <c r="D26" s="196" t="s">
        <v>63</v>
      </c>
      <c r="E26" s="152">
        <v>20498439</v>
      </c>
      <c r="F26" s="90"/>
      <c r="G26" s="84"/>
      <c r="H26" s="85"/>
      <c r="I26" s="360"/>
      <c r="J26" s="361"/>
      <c r="K26" s="363"/>
      <c r="L26" s="365"/>
      <c r="M26" s="365"/>
      <c r="N26" s="90"/>
      <c r="O26" s="90"/>
      <c r="W26" s="84"/>
    </row>
    <row r="27" spans="2:23" ht="15" customHeight="1">
      <c r="B27" s="85"/>
      <c r="C27" s="85"/>
      <c r="D27" s="84"/>
      <c r="E27" s="84"/>
      <c r="F27" s="90"/>
      <c r="G27" s="84"/>
      <c r="H27" s="85"/>
      <c r="I27" s="366" t="s">
        <v>207</v>
      </c>
      <c r="J27" s="366"/>
      <c r="K27" s="196">
        <v>76</v>
      </c>
      <c r="L27" s="198">
        <v>176</v>
      </c>
      <c r="M27" s="98">
        <f>+L27/K27</f>
        <v>2.3157894736842106</v>
      </c>
      <c r="N27" s="90"/>
      <c r="O27" s="90"/>
      <c r="W27" s="84"/>
    </row>
    <row r="28" spans="2:23" ht="15" customHeight="1">
      <c r="B28" s="85"/>
      <c r="C28" s="85"/>
      <c r="D28" s="103" t="s">
        <v>70</v>
      </c>
      <c r="E28" s="104">
        <f>SUM(E24:E26)</f>
        <v>204998439</v>
      </c>
      <c r="F28" s="90"/>
      <c r="G28" s="84"/>
      <c r="H28" s="85"/>
      <c r="I28" s="84"/>
      <c r="J28" s="84"/>
      <c r="K28" s="84"/>
      <c r="L28" s="84"/>
      <c r="M28" s="200"/>
      <c r="N28" s="90"/>
      <c r="O28" s="90"/>
      <c r="W28" s="84"/>
    </row>
    <row r="29" spans="2:23" ht="15" customHeight="1">
      <c r="B29" s="85"/>
      <c r="C29" s="85"/>
      <c r="D29" s="84"/>
      <c r="E29" s="84"/>
      <c r="F29" s="90"/>
      <c r="G29" s="84"/>
      <c r="H29" s="85"/>
      <c r="I29" s="367" t="s">
        <v>96</v>
      </c>
      <c r="J29" s="367"/>
      <c r="K29" s="367"/>
      <c r="L29" s="195">
        <f>SUM(L27:L28)</f>
        <v>176</v>
      </c>
      <c r="M29" s="197"/>
      <c r="N29" s="90"/>
      <c r="O29" s="90"/>
      <c r="W29" s="84"/>
    </row>
    <row r="30" spans="2:23" ht="15" customHeight="1">
      <c r="B30" s="85"/>
      <c r="C30" s="85"/>
      <c r="D30" s="195" t="s">
        <v>60</v>
      </c>
      <c r="E30" s="197">
        <f>E28/E22</f>
        <v>0.99999238536585366</v>
      </c>
      <c r="F30" s="90"/>
      <c r="G30" s="84"/>
      <c r="H30" s="99"/>
      <c r="I30" s="100"/>
      <c r="J30" s="100"/>
      <c r="K30" s="100"/>
      <c r="L30" s="100"/>
      <c r="M30" s="100"/>
      <c r="N30" s="101"/>
      <c r="O30" s="90"/>
      <c r="V30" s="84"/>
      <c r="W30" s="84"/>
    </row>
    <row r="31" spans="2:23" ht="15" customHeight="1">
      <c r="B31" s="85"/>
      <c r="C31" s="99"/>
      <c r="D31" s="100"/>
      <c r="E31" s="100"/>
      <c r="F31" s="101"/>
      <c r="G31" s="84"/>
      <c r="H31" s="84"/>
      <c r="I31" s="84"/>
      <c r="J31" s="84"/>
      <c r="K31" s="84"/>
      <c r="L31" s="84"/>
      <c r="M31" s="84"/>
      <c r="N31" s="84"/>
      <c r="O31" s="90"/>
      <c r="V31" s="84"/>
      <c r="W31" s="84"/>
    </row>
    <row r="32" spans="2:23" ht="15" customHeight="1">
      <c r="B32" s="85"/>
      <c r="C32" s="100"/>
      <c r="D32" s="100"/>
      <c r="E32" s="100"/>
      <c r="F32" s="100"/>
      <c r="G32" s="84"/>
      <c r="H32" s="84"/>
      <c r="I32" s="84"/>
      <c r="J32" s="84"/>
      <c r="K32" s="84"/>
      <c r="L32" s="84"/>
      <c r="M32" s="84"/>
      <c r="N32" s="84"/>
      <c r="O32" s="90"/>
      <c r="V32" s="84"/>
      <c r="W32" s="84"/>
    </row>
    <row r="33" spans="2:23" ht="15" customHeight="1">
      <c r="B33" s="85"/>
      <c r="C33" s="84"/>
      <c r="D33" s="84"/>
      <c r="E33" s="84"/>
      <c r="F33" s="84"/>
      <c r="G33" s="84"/>
      <c r="H33" s="81"/>
      <c r="I33" s="82"/>
      <c r="J33" s="82"/>
      <c r="K33" s="82"/>
      <c r="L33" s="82"/>
      <c r="M33" s="82"/>
      <c r="N33" s="83"/>
      <c r="O33" s="90"/>
      <c r="V33" s="84"/>
      <c r="W33" s="84"/>
    </row>
    <row r="34" spans="2:23" ht="15" customHeight="1">
      <c r="B34" s="85"/>
      <c r="C34" s="84"/>
      <c r="D34" s="84"/>
      <c r="E34" s="84"/>
      <c r="F34" s="84"/>
      <c r="G34" s="84"/>
      <c r="H34" s="85"/>
      <c r="I34" s="348" t="s">
        <v>89</v>
      </c>
      <c r="J34" s="348"/>
      <c r="K34" s="348"/>
      <c r="L34" s="348"/>
      <c r="M34" s="349">
        <f>M17+M29</f>
        <v>1.3026315789473684</v>
      </c>
      <c r="N34" s="90"/>
      <c r="O34" s="90"/>
      <c r="V34" s="84"/>
      <c r="W34" s="84"/>
    </row>
    <row r="35" spans="2:23" ht="15" customHeight="1">
      <c r="B35" s="85"/>
      <c r="C35" s="84"/>
      <c r="D35" s="84"/>
      <c r="E35" s="84"/>
      <c r="F35" s="84"/>
      <c r="G35" s="84"/>
      <c r="H35" s="85"/>
      <c r="I35" s="348"/>
      <c r="J35" s="348"/>
      <c r="K35" s="348"/>
      <c r="L35" s="348"/>
      <c r="M35" s="349"/>
      <c r="N35" s="90"/>
      <c r="O35" s="90"/>
      <c r="V35" s="84"/>
      <c r="W35" s="84"/>
    </row>
    <row r="36" spans="2:23" ht="15" customHeight="1">
      <c r="B36" s="85"/>
      <c r="C36" s="84"/>
      <c r="D36" s="84"/>
      <c r="E36" s="84"/>
      <c r="F36" s="84"/>
      <c r="G36" s="84"/>
      <c r="H36" s="99"/>
      <c r="I36" s="100"/>
      <c r="J36" s="100"/>
      <c r="K36" s="100"/>
      <c r="L36" s="100"/>
      <c r="M36" s="100"/>
      <c r="N36" s="101"/>
      <c r="O36" s="90"/>
      <c r="V36" s="84"/>
      <c r="W36" s="84"/>
    </row>
    <row r="37" spans="2:23" ht="15" customHeight="1">
      <c r="B37" s="85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90"/>
      <c r="V37" s="84"/>
      <c r="W37" s="84"/>
    </row>
    <row r="38" spans="2:23" ht="15" customHeight="1">
      <c r="B38" s="85"/>
      <c r="C38" s="84"/>
      <c r="D38" s="84"/>
      <c r="E38" s="84"/>
      <c r="F38" s="84"/>
      <c r="G38" s="84"/>
      <c r="H38" s="81"/>
      <c r="I38" s="82"/>
      <c r="J38" s="82"/>
      <c r="K38" s="82"/>
      <c r="L38" s="82"/>
      <c r="M38" s="82"/>
      <c r="N38" s="83"/>
      <c r="O38" s="90"/>
      <c r="V38" s="84"/>
      <c r="W38" s="84"/>
    </row>
    <row r="39" spans="2:23" ht="15" customHeight="1">
      <c r="B39" s="85"/>
      <c r="C39" s="84"/>
      <c r="D39" s="84"/>
      <c r="E39" s="84"/>
      <c r="F39" s="84"/>
      <c r="G39" s="84"/>
      <c r="H39" s="85"/>
      <c r="I39" s="352" t="s">
        <v>90</v>
      </c>
      <c r="J39" s="352"/>
      <c r="K39" s="352"/>
      <c r="L39" s="352"/>
      <c r="M39" s="352"/>
      <c r="N39" s="90"/>
      <c r="O39" s="90"/>
      <c r="V39" s="84"/>
      <c r="W39" s="84"/>
    </row>
    <row r="40" spans="2:23" ht="15" customHeight="1">
      <c r="B40" s="85"/>
      <c r="C40" s="84"/>
      <c r="D40" s="84"/>
      <c r="E40" s="84"/>
      <c r="F40" s="84"/>
      <c r="G40" s="84"/>
      <c r="H40" s="99"/>
      <c r="I40" s="100"/>
      <c r="J40" s="100"/>
      <c r="K40" s="100"/>
      <c r="L40" s="100"/>
      <c r="M40" s="100"/>
      <c r="N40" s="101"/>
      <c r="O40" s="90"/>
      <c r="V40" s="84"/>
      <c r="W40" s="84"/>
    </row>
    <row r="41" spans="2:23" ht="15" customHeight="1">
      <c r="B41" s="85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90"/>
      <c r="V41" s="84"/>
      <c r="W41" s="84"/>
    </row>
    <row r="42" spans="2:23" ht="15" customHeight="1">
      <c r="B42" s="85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90"/>
      <c r="V42" s="84"/>
      <c r="W42" s="84"/>
    </row>
    <row r="43" spans="2:23" ht="15" customHeight="1">
      <c r="B43" s="85"/>
      <c r="C43" s="84"/>
      <c r="D43" s="344" t="s">
        <v>222</v>
      </c>
      <c r="E43" s="345"/>
      <c r="F43" s="344" t="s">
        <v>221</v>
      </c>
      <c r="G43" s="356"/>
      <c r="H43" s="356"/>
      <c r="I43" s="345"/>
      <c r="J43" s="226" t="s">
        <v>223</v>
      </c>
      <c r="K43" s="226" t="s">
        <v>224</v>
      </c>
      <c r="L43" s="226" t="s">
        <v>225</v>
      </c>
      <c r="M43" s="226" t="s">
        <v>226</v>
      </c>
      <c r="N43" s="84"/>
      <c r="O43" s="90"/>
      <c r="V43" s="84"/>
      <c r="W43" s="84"/>
    </row>
    <row r="44" spans="2:23" ht="15" customHeight="1">
      <c r="B44" s="85"/>
      <c r="C44" s="84"/>
      <c r="D44" s="346" t="s">
        <v>229</v>
      </c>
      <c r="E44" s="346"/>
      <c r="F44" s="343" t="s">
        <v>230</v>
      </c>
      <c r="G44" s="343"/>
      <c r="H44" s="343"/>
      <c r="I44" s="343"/>
      <c r="J44" s="225">
        <v>248</v>
      </c>
      <c r="K44" s="225">
        <v>243</v>
      </c>
      <c r="L44" s="228">
        <f>+J44/300</f>
        <v>0.82666666666666666</v>
      </c>
      <c r="M44" s="98">
        <v>0.81</v>
      </c>
      <c r="N44" s="84"/>
      <c r="O44" s="90"/>
      <c r="V44" s="84"/>
      <c r="W44" s="84"/>
    </row>
    <row r="45" spans="2:23" ht="15" customHeight="1"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</row>
    <row r="46" spans="2:23" ht="15" customHeight="1">
      <c r="H46" s="84"/>
      <c r="I46" s="84"/>
      <c r="J46" s="84"/>
      <c r="K46" s="84"/>
      <c r="L46" s="84"/>
      <c r="M46" s="84"/>
      <c r="N46" s="84"/>
    </row>
    <row r="47" spans="2:23" ht="15" customHeight="1"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</row>
    <row r="48" spans="2:23" ht="15" customHeight="1"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</row>
    <row r="49" spans="6:18" ht="15" customHeight="1"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</row>
    <row r="50" spans="6:18" ht="15" customHeight="1"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</row>
    <row r="51" spans="6:18" ht="37.5" customHeight="1"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</sheetData>
  <sheetProtection selectLockedCells="1" selectUnlockedCells="1"/>
  <mergeCells count="27">
    <mergeCell ref="D43:E43"/>
    <mergeCell ref="F43:I43"/>
    <mergeCell ref="D44:E44"/>
    <mergeCell ref="F44:I44"/>
    <mergeCell ref="I39:M39"/>
    <mergeCell ref="I17:K17"/>
    <mergeCell ref="D20:E20"/>
    <mergeCell ref="M34:M35"/>
    <mergeCell ref="I34:L35"/>
    <mergeCell ref="I21:M21"/>
    <mergeCell ref="I23:L23"/>
    <mergeCell ref="I25:J26"/>
    <mergeCell ref="K25:K26"/>
    <mergeCell ref="L25:L26"/>
    <mergeCell ref="M25:M26"/>
    <mergeCell ref="I27:J27"/>
    <mergeCell ref="I29:K29"/>
    <mergeCell ref="I13:J14"/>
    <mergeCell ref="K13:K14"/>
    <mergeCell ref="L13:L14"/>
    <mergeCell ref="M13:M14"/>
    <mergeCell ref="I15:J15"/>
    <mergeCell ref="D9:E9"/>
    <mergeCell ref="I9:M9"/>
    <mergeCell ref="I11:L11"/>
    <mergeCell ref="C3:F6"/>
    <mergeCell ref="G3:N6"/>
  </mergeCells>
  <hyperlinks>
    <hyperlink ref="G3:M6" location="'PROYECTOS DASHBOARD'!C47" display="CONVENIO INTERADMINISTRATIVO No 144 de 2019" xr:uid="{00000000-0004-0000-0400-000000000000}"/>
    <hyperlink ref="I39:M39" location="GRAFICAS!O6" display="CLICK - GRAFICA DASHBOARD " xr:uid="{00000000-0004-0000-0400-000001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B1:W45"/>
  <sheetViews>
    <sheetView showGridLines="0" zoomScale="85" zoomScaleNormal="85" workbookViewId="0">
      <pane ySplit="6" topLeftCell="A7" activePane="bottomLeft" state="frozen"/>
      <selection pane="bottomLeft" activeCell="G40" sqref="G40:I40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8" width="2.85546875" style="80" customWidth="1"/>
    <col min="9" max="9" width="14.42578125" style="80" customWidth="1"/>
    <col min="10" max="10" width="16.7109375" style="80" customWidth="1"/>
    <col min="11" max="11" width="18" style="80" customWidth="1"/>
    <col min="12" max="13" width="25.7109375" style="80" customWidth="1"/>
    <col min="14" max="14" width="24.7109375" style="80" customWidth="1"/>
    <col min="15" max="17" width="2.85546875" style="80" customWidth="1"/>
    <col min="18" max="18" width="15.28515625" style="80" customWidth="1"/>
    <col min="19" max="19" width="10.85546875" style="80"/>
    <col min="20" max="20" width="19" style="80" customWidth="1"/>
    <col min="21" max="21" width="19.28515625" style="80" customWidth="1"/>
    <col min="22" max="22" width="17" style="80" customWidth="1"/>
    <col min="23" max="23" width="3.42578125" style="80" customWidth="1"/>
    <col min="24" max="16384" width="10.85546875" style="80"/>
  </cols>
  <sheetData>
    <row r="1" spans="2:23" ht="15" customHeight="1"/>
    <row r="2" spans="2:23" ht="1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/>
      <c r="R2" s="84"/>
      <c r="S2" s="84"/>
      <c r="T2" s="84"/>
      <c r="U2" s="84"/>
      <c r="V2" s="84"/>
      <c r="W2" s="84"/>
    </row>
    <row r="3" spans="2:23" ht="15" customHeight="1">
      <c r="B3" s="85"/>
      <c r="C3" s="343"/>
      <c r="D3" s="343"/>
      <c r="E3" s="343"/>
      <c r="F3" s="343"/>
      <c r="G3" s="369" t="s">
        <v>254</v>
      </c>
      <c r="H3" s="369"/>
      <c r="I3" s="369"/>
      <c r="J3" s="369"/>
      <c r="K3" s="369"/>
      <c r="L3" s="369"/>
      <c r="M3" s="369"/>
      <c r="N3" s="369"/>
      <c r="O3" s="369"/>
      <c r="P3" s="86"/>
      <c r="Q3" s="87"/>
      <c r="R3" s="87"/>
      <c r="S3" s="87"/>
      <c r="T3" s="87"/>
      <c r="U3" s="87"/>
      <c r="V3" s="87"/>
      <c r="W3" s="84"/>
    </row>
    <row r="4" spans="2:23" ht="15" customHeight="1">
      <c r="B4" s="85"/>
      <c r="C4" s="343"/>
      <c r="D4" s="343"/>
      <c r="E4" s="343"/>
      <c r="F4" s="343"/>
      <c r="G4" s="369"/>
      <c r="H4" s="369"/>
      <c r="I4" s="369"/>
      <c r="J4" s="369"/>
      <c r="K4" s="369"/>
      <c r="L4" s="369"/>
      <c r="M4" s="369"/>
      <c r="N4" s="369"/>
      <c r="O4" s="369"/>
      <c r="P4" s="86"/>
      <c r="Q4" s="87"/>
      <c r="R4" s="87"/>
      <c r="S4" s="87"/>
      <c r="T4" s="87"/>
      <c r="U4" s="87"/>
      <c r="V4" s="87"/>
      <c r="W4" s="84"/>
    </row>
    <row r="5" spans="2:23" ht="15" customHeight="1">
      <c r="B5" s="85"/>
      <c r="C5" s="343"/>
      <c r="D5" s="343"/>
      <c r="E5" s="343"/>
      <c r="F5" s="343"/>
      <c r="G5" s="369"/>
      <c r="H5" s="369"/>
      <c r="I5" s="369"/>
      <c r="J5" s="369"/>
      <c r="K5" s="369"/>
      <c r="L5" s="369"/>
      <c r="M5" s="369"/>
      <c r="N5" s="369"/>
      <c r="O5" s="369"/>
      <c r="P5" s="86"/>
      <c r="Q5" s="87"/>
      <c r="R5" s="87"/>
      <c r="S5" s="87"/>
      <c r="T5" s="87"/>
      <c r="U5" s="87"/>
      <c r="V5" s="87"/>
      <c r="W5" s="84"/>
    </row>
    <row r="6" spans="2:23" ht="15" customHeight="1">
      <c r="B6" s="85"/>
      <c r="C6" s="343"/>
      <c r="D6" s="343"/>
      <c r="E6" s="343"/>
      <c r="F6" s="343"/>
      <c r="G6" s="369"/>
      <c r="H6" s="369"/>
      <c r="I6" s="369"/>
      <c r="J6" s="369"/>
      <c r="K6" s="369"/>
      <c r="L6" s="369"/>
      <c r="M6" s="369"/>
      <c r="N6" s="369"/>
      <c r="O6" s="369"/>
      <c r="P6" s="86"/>
      <c r="Q6" s="87"/>
      <c r="R6" s="87"/>
      <c r="S6" s="87"/>
      <c r="T6" s="87"/>
      <c r="U6" s="87"/>
      <c r="V6" s="87"/>
      <c r="W6" s="84"/>
    </row>
    <row r="7" spans="2:23" ht="15" customHeight="1">
      <c r="B7" s="85"/>
      <c r="C7" s="84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  <c r="Q7" s="88"/>
      <c r="S7" s="88"/>
      <c r="T7" s="88"/>
      <c r="U7" s="88"/>
      <c r="V7" s="88"/>
      <c r="W7" s="84"/>
    </row>
    <row r="8" spans="2:23" ht="15" customHeight="1"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2"/>
      <c r="O8" s="83"/>
      <c r="P8" s="90"/>
    </row>
    <row r="9" spans="2:23" ht="15" customHeight="1">
      <c r="B9" s="85"/>
      <c r="C9" s="85"/>
      <c r="D9" s="350" t="s">
        <v>56</v>
      </c>
      <c r="E9" s="350"/>
      <c r="F9" s="90"/>
      <c r="G9" s="84"/>
      <c r="H9" s="85"/>
      <c r="I9" s="350" t="s">
        <v>132</v>
      </c>
      <c r="J9" s="350"/>
      <c r="K9" s="350"/>
      <c r="L9" s="350"/>
      <c r="M9" s="350"/>
      <c r="N9" s="350"/>
      <c r="O9" s="90"/>
      <c r="P9" s="90"/>
    </row>
    <row r="10" spans="2:23" ht="15" customHeight="1"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84"/>
      <c r="O10" s="90"/>
      <c r="P10" s="90"/>
    </row>
    <row r="11" spans="2:23" ht="15" customHeight="1">
      <c r="B11" s="85"/>
      <c r="C11" s="85"/>
      <c r="D11" s="91" t="s">
        <v>57</v>
      </c>
      <c r="E11" s="151">
        <v>43369</v>
      </c>
      <c r="F11" s="90"/>
      <c r="G11" s="84"/>
      <c r="H11" s="85"/>
      <c r="I11" s="351" t="s">
        <v>72</v>
      </c>
      <c r="J11" s="351"/>
      <c r="K11" s="351"/>
      <c r="L11" s="351"/>
      <c r="M11" s="351"/>
      <c r="N11" s="105">
        <v>1</v>
      </c>
      <c r="O11" s="90"/>
      <c r="P11" s="90"/>
    </row>
    <row r="12" spans="2:23" ht="15" customHeight="1">
      <c r="B12" s="85"/>
      <c r="C12" s="85"/>
      <c r="D12" s="91" t="s">
        <v>58</v>
      </c>
      <c r="E12" s="151">
        <v>43749</v>
      </c>
      <c r="F12" s="90"/>
      <c r="G12" s="84"/>
      <c r="H12" s="85"/>
      <c r="I12" s="84"/>
      <c r="J12" s="84"/>
      <c r="K12" s="84"/>
      <c r="L12" s="84"/>
      <c r="M12" s="84"/>
      <c r="N12" s="84"/>
      <c r="O12" s="90"/>
      <c r="P12" s="90"/>
    </row>
    <row r="13" spans="2:23" ht="15" customHeight="1">
      <c r="B13" s="85"/>
      <c r="C13" s="85"/>
      <c r="D13" s="91" t="s">
        <v>59</v>
      </c>
      <c r="E13" s="155">
        <f>E12-E11</f>
        <v>380</v>
      </c>
      <c r="F13" s="90"/>
      <c r="G13" s="84"/>
      <c r="H13" s="85"/>
      <c r="I13" s="370" t="s">
        <v>130</v>
      </c>
      <c r="J13" s="371"/>
      <c r="K13" s="372"/>
      <c r="L13" s="373" t="s">
        <v>128</v>
      </c>
      <c r="M13" s="373" t="s">
        <v>133</v>
      </c>
      <c r="N13" s="374" t="s">
        <v>129</v>
      </c>
      <c r="O13" s="90"/>
      <c r="P13" s="90"/>
      <c r="Q13" s="106"/>
      <c r="R13" s="107"/>
      <c r="S13" s="107"/>
      <c r="T13" s="107"/>
      <c r="U13" s="107"/>
      <c r="V13" s="107"/>
      <c r="W13" s="106"/>
    </row>
    <row r="14" spans="2:23" ht="15" customHeight="1">
      <c r="B14" s="85"/>
      <c r="C14" s="85"/>
      <c r="D14" s="96" t="s">
        <v>21</v>
      </c>
      <c r="E14" s="93">
        <f ca="1">TODAY()-E11</f>
        <v>743</v>
      </c>
      <c r="F14" s="90"/>
      <c r="G14" s="84"/>
      <c r="H14" s="85"/>
      <c r="I14" s="360"/>
      <c r="J14" s="350"/>
      <c r="K14" s="361"/>
      <c r="L14" s="363"/>
      <c r="M14" s="363"/>
      <c r="N14" s="375"/>
      <c r="O14" s="90"/>
      <c r="P14" s="90"/>
    </row>
    <row r="15" spans="2:23" ht="15" customHeight="1">
      <c r="B15" s="85"/>
      <c r="C15" s="85"/>
      <c r="D15" s="84"/>
      <c r="E15" s="84"/>
      <c r="F15" s="90"/>
      <c r="G15" s="84"/>
      <c r="H15" s="85"/>
      <c r="I15" s="97">
        <v>1</v>
      </c>
      <c r="J15" s="366" t="s">
        <v>52</v>
      </c>
      <c r="K15" s="366"/>
      <c r="L15" s="108">
        <v>400</v>
      </c>
      <c r="M15" s="153">
        <v>408</v>
      </c>
      <c r="N15" s="109">
        <f>M15/L15</f>
        <v>1.02</v>
      </c>
      <c r="O15" s="90"/>
      <c r="P15" s="90"/>
    </row>
    <row r="16" spans="2:23" ht="15" customHeight="1">
      <c r="B16" s="85"/>
      <c r="C16" s="85"/>
      <c r="D16" s="145" t="s">
        <v>56</v>
      </c>
      <c r="E16" s="146">
        <f ca="1">IF((E14/E13)&gt;100%,100%,(E14/E13))</f>
        <v>1</v>
      </c>
      <c r="F16" s="90"/>
      <c r="G16" s="84"/>
      <c r="H16" s="85"/>
      <c r="I16" s="97">
        <v>2</v>
      </c>
      <c r="J16" s="366" t="s">
        <v>53</v>
      </c>
      <c r="K16" s="366"/>
      <c r="L16" s="108">
        <v>500</v>
      </c>
      <c r="M16" s="153">
        <v>740</v>
      </c>
      <c r="N16" s="109">
        <f>M16/L16</f>
        <v>1.48</v>
      </c>
      <c r="O16" s="90"/>
      <c r="P16" s="90"/>
    </row>
    <row r="17" spans="2:23" ht="15" customHeight="1">
      <c r="B17" s="85"/>
      <c r="C17" s="99"/>
      <c r="D17" s="100"/>
      <c r="E17" s="100"/>
      <c r="F17" s="101"/>
      <c r="G17" s="84"/>
      <c r="H17" s="85"/>
      <c r="I17" s="84"/>
      <c r="J17" s="84"/>
      <c r="K17" s="84"/>
      <c r="L17" s="88"/>
      <c r="M17" s="88"/>
      <c r="N17" s="88"/>
      <c r="O17" s="90"/>
      <c r="P17" s="90"/>
      <c r="Q17" s="106"/>
      <c r="R17" s="110"/>
      <c r="S17" s="110"/>
      <c r="T17" s="111"/>
      <c r="U17" s="111"/>
      <c r="V17" s="112"/>
      <c r="W17" s="106"/>
    </row>
    <row r="18" spans="2:23" ht="15" customHeight="1">
      <c r="B18" s="85"/>
      <c r="C18" s="84"/>
      <c r="D18" s="84"/>
      <c r="E18" s="84"/>
      <c r="F18" s="84"/>
      <c r="G18" s="84"/>
      <c r="H18" s="85"/>
      <c r="I18" s="348" t="s">
        <v>149</v>
      </c>
      <c r="J18" s="348"/>
      <c r="K18" s="348"/>
      <c r="L18" s="145">
        <f>+L15+L16</f>
        <v>900</v>
      </c>
      <c r="M18" s="149">
        <f>+M15+M16</f>
        <v>1148</v>
      </c>
      <c r="N18" s="154">
        <f>(M18/L18)*N11</f>
        <v>1.2755555555555556</v>
      </c>
      <c r="O18" s="90"/>
      <c r="P18" s="90"/>
      <c r="Q18" s="106"/>
      <c r="R18" s="106"/>
      <c r="S18" s="106"/>
      <c r="T18" s="106"/>
      <c r="U18" s="106"/>
      <c r="V18" s="106"/>
      <c r="W18" s="106"/>
    </row>
    <row r="19" spans="2:23" ht="15" customHeight="1">
      <c r="B19" s="85"/>
      <c r="C19" s="81"/>
      <c r="D19" s="82"/>
      <c r="E19" s="82"/>
      <c r="F19" s="83"/>
      <c r="G19" s="84"/>
      <c r="H19" s="168"/>
      <c r="I19" s="169"/>
      <c r="J19" s="169"/>
      <c r="K19" s="169"/>
      <c r="L19" s="169"/>
      <c r="M19" s="170"/>
      <c r="N19" s="169"/>
      <c r="O19" s="101"/>
      <c r="P19" s="90"/>
      <c r="Q19" s="84"/>
      <c r="W19" s="84"/>
    </row>
    <row r="20" spans="2:23" ht="15" customHeight="1">
      <c r="B20" s="85"/>
      <c r="C20" s="85"/>
      <c r="D20" s="350" t="s">
        <v>60</v>
      </c>
      <c r="E20" s="350"/>
      <c r="F20" s="90"/>
      <c r="G20" s="84"/>
      <c r="H20" s="84"/>
      <c r="I20" s="84"/>
      <c r="J20" s="84"/>
      <c r="K20" s="84"/>
      <c r="L20" s="84"/>
      <c r="M20" s="84"/>
      <c r="N20" s="84"/>
      <c r="O20" s="84"/>
      <c r="P20" s="90"/>
      <c r="Q20" s="84"/>
      <c r="W20" s="84"/>
    </row>
    <row r="21" spans="2:23" ht="15" customHeight="1">
      <c r="B21" s="85"/>
      <c r="C21" s="85"/>
      <c r="D21" s="84"/>
      <c r="E21" s="84"/>
      <c r="F21" s="90"/>
      <c r="G21" s="84"/>
      <c r="H21" s="81"/>
      <c r="I21" s="82"/>
      <c r="J21" s="82"/>
      <c r="K21" s="82"/>
      <c r="L21" s="82"/>
      <c r="M21" s="82"/>
      <c r="N21" s="82"/>
      <c r="O21" s="83"/>
      <c r="P21" s="90"/>
      <c r="Q21" s="84"/>
      <c r="W21" s="84"/>
    </row>
    <row r="22" spans="2:23" ht="15" customHeight="1">
      <c r="B22" s="85"/>
      <c r="C22" s="85"/>
      <c r="D22" s="97" t="s">
        <v>69</v>
      </c>
      <c r="E22" s="102">
        <v>182201317</v>
      </c>
      <c r="F22" s="90"/>
      <c r="G22" s="84"/>
      <c r="H22" s="85"/>
      <c r="I22" s="348" t="s">
        <v>89</v>
      </c>
      <c r="J22" s="348"/>
      <c r="K22" s="348"/>
      <c r="L22" s="348"/>
      <c r="M22" s="348"/>
      <c r="N22" s="349">
        <f>N18</f>
        <v>1.2755555555555556</v>
      </c>
      <c r="O22" s="90"/>
      <c r="P22" s="90"/>
      <c r="Q22" s="106"/>
      <c r="R22" s="106"/>
      <c r="S22" s="106"/>
      <c r="T22" s="106"/>
      <c r="U22" s="106"/>
      <c r="V22" s="106"/>
      <c r="W22" s="106"/>
    </row>
    <row r="23" spans="2:23" ht="15" customHeight="1">
      <c r="B23" s="85"/>
      <c r="C23" s="85"/>
      <c r="D23" s="84"/>
      <c r="E23" s="84"/>
      <c r="F23" s="90"/>
      <c r="G23" s="84"/>
      <c r="H23" s="85"/>
      <c r="I23" s="348"/>
      <c r="J23" s="348"/>
      <c r="K23" s="348"/>
      <c r="L23" s="348"/>
      <c r="M23" s="348"/>
      <c r="N23" s="349"/>
      <c r="O23" s="90"/>
      <c r="P23" s="90"/>
      <c r="Q23" s="106"/>
      <c r="R23" s="115"/>
      <c r="S23" s="115"/>
      <c r="T23" s="115"/>
      <c r="U23" s="115"/>
      <c r="V23" s="116"/>
      <c r="W23" s="106"/>
    </row>
    <row r="24" spans="2:23" ht="15" customHeight="1">
      <c r="B24" s="85"/>
      <c r="C24" s="85"/>
      <c r="D24" s="97" t="s">
        <v>61</v>
      </c>
      <c r="E24" s="152">
        <v>5236000</v>
      </c>
      <c r="F24" s="90"/>
      <c r="G24" s="84"/>
      <c r="H24" s="99"/>
      <c r="I24" s="100"/>
      <c r="J24" s="100"/>
      <c r="K24" s="100"/>
      <c r="L24" s="100"/>
      <c r="M24" s="100"/>
      <c r="N24" s="100"/>
      <c r="O24" s="101"/>
      <c r="P24" s="90"/>
      <c r="Q24" s="106"/>
      <c r="R24" s="115"/>
      <c r="S24" s="115"/>
      <c r="T24" s="115"/>
      <c r="U24" s="115"/>
      <c r="V24" s="116"/>
      <c r="W24" s="106"/>
    </row>
    <row r="25" spans="2:23" ht="15" customHeight="1">
      <c r="B25" s="85"/>
      <c r="C25" s="85"/>
      <c r="D25" s="97" t="s">
        <v>62</v>
      </c>
      <c r="E25" s="152">
        <v>61154516</v>
      </c>
      <c r="F25" s="90"/>
      <c r="G25" s="84"/>
      <c r="H25" s="84"/>
      <c r="I25" s="84"/>
      <c r="J25" s="84"/>
      <c r="K25" s="84"/>
      <c r="L25" s="84"/>
      <c r="M25" s="84"/>
      <c r="N25" s="84"/>
      <c r="O25" s="84"/>
      <c r="P25" s="90"/>
      <c r="Q25" s="106"/>
      <c r="R25" s="115"/>
      <c r="S25" s="115"/>
      <c r="T25" s="115"/>
      <c r="U25" s="115"/>
      <c r="V25" s="116"/>
      <c r="W25" s="106"/>
    </row>
    <row r="26" spans="2:23" ht="15" customHeight="1">
      <c r="B26" s="85"/>
      <c r="C26" s="85"/>
      <c r="D26" s="97" t="s">
        <v>63</v>
      </c>
      <c r="E26" s="152">
        <v>15696100</v>
      </c>
      <c r="F26" s="90"/>
      <c r="G26" s="84"/>
      <c r="H26" s="81"/>
      <c r="I26" s="82"/>
      <c r="J26" s="82"/>
      <c r="K26" s="82"/>
      <c r="L26" s="82"/>
      <c r="M26" s="82"/>
      <c r="N26" s="82"/>
      <c r="O26" s="83"/>
      <c r="P26" s="90"/>
      <c r="Q26" s="106"/>
      <c r="R26" s="106"/>
      <c r="S26" s="106"/>
      <c r="T26" s="106"/>
      <c r="U26" s="106"/>
      <c r="V26" s="106"/>
      <c r="W26" s="106"/>
    </row>
    <row r="27" spans="2:23" ht="15" customHeight="1">
      <c r="B27" s="85"/>
      <c r="C27" s="85"/>
      <c r="D27" s="97" t="s">
        <v>64</v>
      </c>
      <c r="E27" s="152">
        <v>17633896</v>
      </c>
      <c r="F27" s="90"/>
      <c r="G27" s="84"/>
      <c r="H27" s="85"/>
      <c r="I27" s="368" t="s">
        <v>90</v>
      </c>
      <c r="J27" s="368"/>
      <c r="K27" s="368"/>
      <c r="L27" s="368"/>
      <c r="M27" s="368"/>
      <c r="N27" s="368"/>
      <c r="O27" s="90"/>
      <c r="P27" s="90"/>
      <c r="Q27" s="84"/>
      <c r="R27" s="84"/>
      <c r="S27" s="84"/>
      <c r="T27" s="84"/>
      <c r="U27" s="84"/>
      <c r="V27" s="84"/>
      <c r="W27" s="84"/>
    </row>
    <row r="28" spans="2:23" ht="15" customHeight="1">
      <c r="B28" s="85"/>
      <c r="C28" s="85"/>
      <c r="D28" s="97" t="s">
        <v>65</v>
      </c>
      <c r="E28" s="152">
        <v>16719738</v>
      </c>
      <c r="F28" s="90"/>
      <c r="G28" s="84"/>
      <c r="H28" s="99"/>
      <c r="I28" s="100"/>
      <c r="J28" s="100"/>
      <c r="K28" s="100"/>
      <c r="L28" s="100"/>
      <c r="M28" s="100"/>
      <c r="N28" s="100"/>
      <c r="O28" s="101"/>
      <c r="P28" s="90"/>
    </row>
    <row r="29" spans="2:23" ht="15" customHeight="1">
      <c r="B29" s="85"/>
      <c r="C29" s="85"/>
      <c r="D29" s="97" t="s">
        <v>66</v>
      </c>
      <c r="E29" s="152">
        <v>16158653</v>
      </c>
      <c r="F29" s="90"/>
      <c r="G29" s="84"/>
      <c r="H29" s="84"/>
      <c r="I29" s="84"/>
      <c r="J29" s="84"/>
      <c r="K29" s="84"/>
      <c r="L29" s="84"/>
      <c r="M29" s="84"/>
      <c r="N29" s="84"/>
      <c r="O29" s="84"/>
      <c r="P29" s="90"/>
    </row>
    <row r="30" spans="2:23" ht="15" customHeight="1">
      <c r="B30" s="85"/>
      <c r="C30" s="85"/>
      <c r="D30" s="97" t="s">
        <v>67</v>
      </c>
      <c r="E30" s="152">
        <v>12572231</v>
      </c>
      <c r="F30" s="90"/>
      <c r="G30" s="84"/>
      <c r="H30" s="81"/>
      <c r="I30" s="82"/>
      <c r="J30" s="82"/>
      <c r="K30" s="82"/>
      <c r="L30" s="82"/>
      <c r="M30" s="82"/>
      <c r="N30" s="82"/>
      <c r="O30" s="83"/>
      <c r="P30" s="90"/>
    </row>
    <row r="31" spans="2:23" ht="15" customHeight="1">
      <c r="B31" s="85"/>
      <c r="C31" s="85"/>
      <c r="D31" s="97" t="s">
        <v>68</v>
      </c>
      <c r="E31" s="152">
        <v>12301268</v>
      </c>
      <c r="F31" s="90"/>
      <c r="G31" s="84"/>
      <c r="H31" s="85"/>
      <c r="I31" s="349" t="s">
        <v>369</v>
      </c>
      <c r="J31" s="349"/>
      <c r="K31" s="349"/>
      <c r="L31" s="349"/>
      <c r="M31" s="349"/>
      <c r="N31" s="349"/>
      <c r="O31" s="90"/>
      <c r="P31" s="227"/>
      <c r="Q31" s="234"/>
      <c r="R31" s="84"/>
    </row>
    <row r="32" spans="2:23" ht="15" customHeight="1">
      <c r="B32" s="85"/>
      <c r="C32" s="85"/>
      <c r="D32" s="171" t="s">
        <v>101</v>
      </c>
      <c r="E32" s="152">
        <v>15339814</v>
      </c>
      <c r="F32" s="90"/>
      <c r="G32" s="84"/>
      <c r="H32" s="85"/>
      <c r="I32" s="355"/>
      <c r="J32" s="355"/>
      <c r="K32" s="355"/>
      <c r="L32" s="355"/>
      <c r="M32" s="355"/>
      <c r="N32" s="84"/>
      <c r="O32" s="287"/>
      <c r="P32" s="236"/>
      <c r="Q32" s="235"/>
      <c r="R32" s="84"/>
    </row>
    <row r="33" spans="2:16" ht="15" customHeight="1">
      <c r="B33" s="85"/>
      <c r="C33" s="85"/>
      <c r="D33" s="84"/>
      <c r="E33" s="84"/>
      <c r="F33" s="90"/>
      <c r="G33" s="84"/>
      <c r="H33" s="85"/>
      <c r="I33" s="376"/>
      <c r="J33" s="377"/>
      <c r="K33" s="377"/>
      <c r="L33" s="377"/>
      <c r="M33" s="377"/>
      <c r="N33" s="378"/>
      <c r="O33" s="90"/>
      <c r="P33" s="90"/>
    </row>
    <row r="34" spans="2:16" ht="15" customHeight="1">
      <c r="B34" s="85"/>
      <c r="C34" s="85"/>
      <c r="D34" s="103" t="s">
        <v>70</v>
      </c>
      <c r="E34" s="104">
        <f>SUM(E24:E32)</f>
        <v>172812216</v>
      </c>
      <c r="F34" s="90"/>
      <c r="G34" s="84"/>
      <c r="H34" s="85"/>
      <c r="I34" s="379"/>
      <c r="J34" s="355"/>
      <c r="K34" s="355"/>
      <c r="L34" s="355"/>
      <c r="M34" s="355"/>
      <c r="N34" s="380"/>
      <c r="O34" s="90"/>
      <c r="P34" s="90"/>
    </row>
    <row r="35" spans="2:16" ht="15" customHeight="1">
      <c r="B35" s="85"/>
      <c r="C35" s="85"/>
      <c r="D35" s="84"/>
      <c r="E35" s="84"/>
      <c r="F35" s="90"/>
      <c r="G35" s="84"/>
      <c r="H35" s="85"/>
      <c r="I35" s="381"/>
      <c r="J35" s="382"/>
      <c r="K35" s="382"/>
      <c r="L35" s="382"/>
      <c r="M35" s="382"/>
      <c r="N35" s="383"/>
      <c r="O35" s="90"/>
      <c r="P35" s="90"/>
    </row>
    <row r="36" spans="2:16" ht="15" customHeight="1">
      <c r="B36" s="85"/>
      <c r="C36" s="85"/>
      <c r="D36" s="145" t="s">
        <v>60</v>
      </c>
      <c r="E36" s="147">
        <f>E34/E22</f>
        <v>0.94846853384709617</v>
      </c>
      <c r="F36" s="90"/>
      <c r="G36" s="84"/>
      <c r="H36" s="99"/>
      <c r="I36" s="100"/>
      <c r="J36" s="100"/>
      <c r="K36" s="100"/>
      <c r="L36" s="100"/>
      <c r="M36" s="100"/>
      <c r="N36" s="100"/>
      <c r="O36" s="101"/>
      <c r="P36" s="90"/>
    </row>
    <row r="37" spans="2:16" ht="15" customHeight="1">
      <c r="B37" s="85"/>
      <c r="C37" s="99"/>
      <c r="D37" s="100"/>
      <c r="E37" s="100"/>
      <c r="F37" s="101"/>
      <c r="G37" s="84"/>
      <c r="H37" s="84"/>
      <c r="I37" s="84"/>
      <c r="J37" s="84"/>
      <c r="K37" s="84"/>
      <c r="L37" s="84"/>
      <c r="M37" s="84"/>
      <c r="N37" s="84"/>
      <c r="O37" s="84"/>
      <c r="P37" s="90"/>
    </row>
    <row r="38" spans="2:16" ht="15" customHeight="1">
      <c r="B38" s="85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90"/>
    </row>
    <row r="39" spans="2:16" ht="15" customHeight="1">
      <c r="B39" s="85"/>
      <c r="C39" s="354" t="s">
        <v>222</v>
      </c>
      <c r="D39" s="354"/>
      <c r="E39" s="354"/>
      <c r="F39" s="354"/>
      <c r="G39" s="354" t="s">
        <v>221</v>
      </c>
      <c r="H39" s="354"/>
      <c r="I39" s="354"/>
      <c r="J39" s="226" t="s">
        <v>223</v>
      </c>
      <c r="K39" s="226" t="s">
        <v>224</v>
      </c>
      <c r="L39" s="226" t="s">
        <v>225</v>
      </c>
      <c r="M39" s="226" t="s">
        <v>226</v>
      </c>
      <c r="N39" s="84"/>
      <c r="O39" s="84"/>
      <c r="P39" s="90"/>
    </row>
    <row r="40" spans="2:16" ht="36" customHeight="1">
      <c r="B40" s="85"/>
      <c r="C40" s="346" t="s">
        <v>231</v>
      </c>
      <c r="D40" s="346"/>
      <c r="E40" s="346"/>
      <c r="F40" s="346"/>
      <c r="G40" s="343" t="s">
        <v>230</v>
      </c>
      <c r="H40" s="343"/>
      <c r="I40" s="343"/>
      <c r="J40" s="233">
        <v>2730</v>
      </c>
      <c r="K40" s="240">
        <v>3409</v>
      </c>
      <c r="L40" s="242">
        <v>0.91</v>
      </c>
      <c r="M40" s="243">
        <v>1.1359999999999999</v>
      </c>
      <c r="N40" s="84"/>
      <c r="O40" s="84"/>
      <c r="P40" s="90"/>
    </row>
    <row r="41" spans="2:16" ht="15" customHeight="1">
      <c r="B41" s="85"/>
      <c r="C41" s="84"/>
      <c r="D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90"/>
    </row>
    <row r="42" spans="2:16"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1"/>
    </row>
    <row r="43" spans="2:16">
      <c r="B43" s="84"/>
      <c r="C43" s="84"/>
      <c r="D43" s="84"/>
      <c r="E43" s="84"/>
      <c r="F43" s="84"/>
      <c r="G43" s="84"/>
    </row>
    <row r="44" spans="2:16">
      <c r="B44" s="84"/>
      <c r="C44" s="84"/>
      <c r="D44" s="84"/>
      <c r="E44" s="84"/>
      <c r="F44" s="84"/>
      <c r="G44" s="84"/>
    </row>
    <row r="45" spans="2:16">
      <c r="B45" s="84"/>
      <c r="C45" s="84"/>
      <c r="D45" s="84"/>
      <c r="E45" s="84"/>
      <c r="F45" s="84"/>
      <c r="G45" s="84"/>
    </row>
  </sheetData>
  <sheetProtection selectLockedCells="1" selectUnlockedCells="1"/>
  <mergeCells count="23">
    <mergeCell ref="I31:N31"/>
    <mergeCell ref="G39:I39"/>
    <mergeCell ref="C40:F40"/>
    <mergeCell ref="G40:I40"/>
    <mergeCell ref="C39:F39"/>
    <mergeCell ref="I32:M32"/>
    <mergeCell ref="I33:N35"/>
    <mergeCell ref="C3:F6"/>
    <mergeCell ref="I27:N27"/>
    <mergeCell ref="J15:K15"/>
    <mergeCell ref="J16:K16"/>
    <mergeCell ref="I18:K18"/>
    <mergeCell ref="G3:O6"/>
    <mergeCell ref="I13:K14"/>
    <mergeCell ref="L13:L14"/>
    <mergeCell ref="M13:M14"/>
    <mergeCell ref="N13:N14"/>
    <mergeCell ref="I22:M23"/>
    <mergeCell ref="N22:N23"/>
    <mergeCell ref="D9:E9"/>
    <mergeCell ref="I9:N9"/>
    <mergeCell ref="I11:M11"/>
    <mergeCell ref="D20:E20"/>
  </mergeCells>
  <hyperlinks>
    <hyperlink ref="I27:N27" location="'PROYECTOS DASHBOARD'!I53" display="CLICK - GRAFICA DASHBOARD " xr:uid="{00000000-0004-0000-0500-000000000000}"/>
    <hyperlink ref="I27:M27" location="'PROYECTOS DASHBOARD'!I39" display="CLICK - GRAFICA DASHBOARD " xr:uid="{00000000-0004-0000-0500-000001000000}"/>
  </hyperlink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49"/>
  <sheetViews>
    <sheetView showGridLines="0" zoomScale="85" zoomScaleNormal="85" workbookViewId="0">
      <pane ySplit="6" topLeftCell="A7" activePane="bottomLeft" state="frozen"/>
      <selection pane="bottomLeft" activeCell="E12" sqref="E12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8" width="2.85546875" style="80" customWidth="1"/>
    <col min="9" max="9" width="16.5703125" style="80" customWidth="1"/>
    <col min="10" max="10" width="16.7109375" style="80" customWidth="1"/>
    <col min="11" max="11" width="21.28515625" style="80" customWidth="1"/>
    <col min="12" max="14" width="22.7109375" style="80" customWidth="1"/>
    <col min="15" max="18" width="2.85546875" style="80" customWidth="1"/>
    <col min="19" max="19" width="10.85546875" style="80"/>
    <col min="20" max="20" width="19" style="80" customWidth="1"/>
    <col min="21" max="21" width="19.28515625" style="80" customWidth="1"/>
    <col min="22" max="22" width="17" style="80" customWidth="1"/>
    <col min="23" max="23" width="3.42578125" style="80" customWidth="1"/>
    <col min="24" max="16384" width="10.85546875" style="80"/>
  </cols>
  <sheetData>
    <row r="1" spans="2:23" ht="15" customHeight="1"/>
    <row r="2" spans="2:23" ht="1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2:23" ht="15" customHeight="1">
      <c r="B3" s="85"/>
      <c r="C3" s="343"/>
      <c r="D3" s="343"/>
      <c r="E3" s="343"/>
      <c r="F3" s="343"/>
      <c r="G3" s="384" t="s">
        <v>255</v>
      </c>
      <c r="H3" s="385"/>
      <c r="I3" s="385"/>
      <c r="J3" s="385"/>
      <c r="K3" s="385"/>
      <c r="L3" s="385"/>
      <c r="M3" s="385"/>
      <c r="N3" s="385"/>
      <c r="O3" s="386"/>
      <c r="P3" s="86"/>
      <c r="Q3" s="87"/>
      <c r="R3" s="87"/>
      <c r="S3" s="87"/>
      <c r="T3" s="87"/>
      <c r="U3" s="87"/>
      <c r="V3" s="87"/>
      <c r="W3" s="84"/>
    </row>
    <row r="4" spans="2:23" ht="15" customHeight="1">
      <c r="B4" s="85"/>
      <c r="C4" s="343"/>
      <c r="D4" s="343"/>
      <c r="E4" s="343"/>
      <c r="F4" s="343"/>
      <c r="G4" s="387"/>
      <c r="H4" s="388"/>
      <c r="I4" s="388"/>
      <c r="J4" s="388"/>
      <c r="K4" s="388"/>
      <c r="L4" s="388"/>
      <c r="M4" s="388"/>
      <c r="N4" s="388"/>
      <c r="O4" s="389"/>
      <c r="P4" s="86"/>
      <c r="Q4" s="87"/>
      <c r="R4" s="87"/>
      <c r="S4" s="87"/>
      <c r="T4" s="87"/>
      <c r="U4" s="87"/>
      <c r="V4" s="87"/>
      <c r="W4" s="84"/>
    </row>
    <row r="5" spans="2:23" ht="15" customHeight="1">
      <c r="B5" s="85"/>
      <c r="C5" s="343"/>
      <c r="D5" s="343"/>
      <c r="E5" s="343"/>
      <c r="F5" s="343"/>
      <c r="G5" s="387"/>
      <c r="H5" s="388"/>
      <c r="I5" s="388"/>
      <c r="J5" s="388"/>
      <c r="K5" s="388"/>
      <c r="L5" s="388"/>
      <c r="M5" s="388"/>
      <c r="N5" s="388"/>
      <c r="O5" s="389"/>
      <c r="P5" s="86"/>
      <c r="Q5" s="87"/>
      <c r="R5" s="87"/>
      <c r="S5" s="87"/>
      <c r="T5" s="87"/>
      <c r="U5" s="87"/>
      <c r="V5" s="87"/>
      <c r="W5" s="84"/>
    </row>
    <row r="6" spans="2:23" ht="15" customHeight="1">
      <c r="B6" s="85"/>
      <c r="C6" s="343"/>
      <c r="D6" s="343"/>
      <c r="E6" s="343"/>
      <c r="F6" s="343"/>
      <c r="G6" s="390"/>
      <c r="H6" s="391"/>
      <c r="I6" s="391"/>
      <c r="J6" s="391"/>
      <c r="K6" s="391"/>
      <c r="L6" s="391"/>
      <c r="M6" s="391"/>
      <c r="N6" s="391"/>
      <c r="O6" s="392"/>
      <c r="P6" s="86"/>
      <c r="Q6" s="87"/>
      <c r="R6" s="87"/>
      <c r="S6" s="87"/>
      <c r="T6" s="87"/>
      <c r="U6" s="87"/>
      <c r="V6" s="87"/>
      <c r="W6" s="84"/>
    </row>
    <row r="7" spans="2:23" ht="15" customHeight="1">
      <c r="B7" s="85"/>
      <c r="C7" s="84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2"/>
      <c r="Q7" s="88"/>
      <c r="R7" s="88"/>
      <c r="S7" s="88"/>
      <c r="T7" s="88"/>
      <c r="U7" s="88"/>
      <c r="V7" s="88"/>
      <c r="W7" s="84"/>
    </row>
    <row r="8" spans="2:23" ht="15" customHeight="1"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2"/>
      <c r="O8" s="83"/>
      <c r="P8" s="90"/>
    </row>
    <row r="9" spans="2:23" ht="15" customHeight="1">
      <c r="B9" s="85"/>
      <c r="C9" s="85"/>
      <c r="D9" s="350" t="s">
        <v>56</v>
      </c>
      <c r="E9" s="350"/>
      <c r="F9" s="90"/>
      <c r="G9" s="84"/>
      <c r="H9" s="85"/>
      <c r="I9" s="350" t="s">
        <v>132</v>
      </c>
      <c r="J9" s="350"/>
      <c r="K9" s="350"/>
      <c r="L9" s="350"/>
      <c r="M9" s="350"/>
      <c r="N9" s="350"/>
      <c r="O9" s="90"/>
      <c r="P9" s="90"/>
    </row>
    <row r="10" spans="2:23" ht="15" customHeight="1"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84"/>
      <c r="O10" s="90"/>
      <c r="P10" s="90"/>
    </row>
    <row r="11" spans="2:23" ht="15" customHeight="1">
      <c r="B11" s="85"/>
      <c r="C11" s="85"/>
      <c r="D11" s="210" t="s">
        <v>57</v>
      </c>
      <c r="E11" s="151">
        <v>43739</v>
      </c>
      <c r="F11" s="90"/>
      <c r="G11" s="84"/>
      <c r="H11" s="85"/>
      <c r="I11" s="351" t="s">
        <v>72</v>
      </c>
      <c r="J11" s="351"/>
      <c r="K11" s="351"/>
      <c r="L11" s="351"/>
      <c r="M11" s="351"/>
      <c r="N11" s="105">
        <v>1</v>
      </c>
      <c r="O11" s="90"/>
      <c r="P11" s="90"/>
    </row>
    <row r="12" spans="2:23" ht="15" customHeight="1">
      <c r="B12" s="85"/>
      <c r="C12" s="85"/>
      <c r="D12" s="210" t="s">
        <v>58</v>
      </c>
      <c r="E12" s="151">
        <v>44087</v>
      </c>
      <c r="F12" s="90"/>
      <c r="G12" s="84"/>
      <c r="H12" s="85"/>
      <c r="I12" s="84"/>
      <c r="J12" s="84"/>
      <c r="K12" s="84"/>
      <c r="L12" s="84"/>
      <c r="M12" s="84"/>
      <c r="N12" s="84"/>
      <c r="O12" s="90"/>
      <c r="P12" s="90"/>
    </row>
    <row r="13" spans="2:23" ht="15" customHeight="1">
      <c r="B13" s="85"/>
      <c r="C13" s="85"/>
      <c r="D13" s="210" t="s">
        <v>216</v>
      </c>
      <c r="E13" s="222">
        <v>43908</v>
      </c>
      <c r="F13" s="90"/>
      <c r="G13" s="84"/>
      <c r="H13" s="85"/>
      <c r="I13" s="354" t="s">
        <v>130</v>
      </c>
      <c r="J13" s="354"/>
      <c r="K13" s="354"/>
      <c r="L13" s="213" t="s">
        <v>128</v>
      </c>
      <c r="M13" s="213" t="s">
        <v>133</v>
      </c>
      <c r="N13" s="205" t="s">
        <v>129</v>
      </c>
      <c r="O13" s="90"/>
      <c r="P13" s="90"/>
      <c r="Q13" s="106"/>
      <c r="R13" s="107"/>
      <c r="S13" s="107"/>
      <c r="T13" s="107"/>
      <c r="U13" s="107"/>
      <c r="V13" s="107"/>
      <c r="W13" s="106"/>
    </row>
    <row r="14" spans="2:23" ht="15" customHeight="1">
      <c r="B14" s="85"/>
      <c r="C14" s="85"/>
      <c r="D14" s="210" t="s">
        <v>217</v>
      </c>
      <c r="E14" s="151">
        <v>43954</v>
      </c>
      <c r="F14" s="90"/>
      <c r="G14" s="84"/>
      <c r="H14" s="85"/>
      <c r="I14" s="204">
        <v>1</v>
      </c>
      <c r="J14" s="366" t="s">
        <v>52</v>
      </c>
      <c r="K14" s="366"/>
      <c r="L14" s="207">
        <v>570</v>
      </c>
      <c r="M14" s="208">
        <v>570</v>
      </c>
      <c r="N14" s="209">
        <f>M14/L14</f>
        <v>1</v>
      </c>
      <c r="O14" s="90"/>
      <c r="P14" s="90"/>
    </row>
    <row r="15" spans="2:23" ht="15" customHeight="1">
      <c r="B15" s="85"/>
      <c r="C15" s="85"/>
      <c r="D15" s="210" t="s">
        <v>59</v>
      </c>
      <c r="E15" s="93">
        <f>IFERROR(E12-E11,"")</f>
        <v>348</v>
      </c>
      <c r="F15" s="90"/>
      <c r="G15" s="84"/>
      <c r="H15" s="85"/>
      <c r="I15" s="343">
        <v>2</v>
      </c>
      <c r="J15" s="366" t="s">
        <v>54</v>
      </c>
      <c r="K15" s="366"/>
      <c r="L15" s="393">
        <v>1080</v>
      </c>
      <c r="M15" s="394">
        <v>550</v>
      </c>
      <c r="N15" s="395">
        <f>M15/L15</f>
        <v>0.5092592592592593</v>
      </c>
      <c r="O15" s="90"/>
      <c r="P15" s="90"/>
    </row>
    <row r="16" spans="2:23" ht="15" customHeight="1">
      <c r="B16" s="85"/>
      <c r="C16" s="85"/>
      <c r="D16" s="96" t="s">
        <v>21</v>
      </c>
      <c r="E16" s="93">
        <f ca="1">TODAY()-E11</f>
        <v>373</v>
      </c>
      <c r="F16" s="90"/>
      <c r="G16" s="84"/>
      <c r="H16" s="85"/>
      <c r="I16" s="343"/>
      <c r="J16" s="366"/>
      <c r="K16" s="366"/>
      <c r="L16" s="393"/>
      <c r="M16" s="394"/>
      <c r="N16" s="395"/>
      <c r="O16" s="90"/>
      <c r="P16" s="90"/>
    </row>
    <row r="17" spans="2:23" ht="15" customHeight="1">
      <c r="B17" s="85"/>
      <c r="C17" s="85"/>
      <c r="D17" s="84"/>
      <c r="E17" s="84"/>
      <c r="F17" s="90"/>
      <c r="G17" s="84"/>
      <c r="H17" s="85"/>
      <c r="I17" s="84"/>
      <c r="J17" s="84"/>
      <c r="K17" s="84"/>
      <c r="L17" s="211"/>
      <c r="M17" s="211"/>
      <c r="N17" s="211"/>
      <c r="O17" s="90"/>
      <c r="P17" s="90"/>
      <c r="Q17" s="106"/>
      <c r="R17" s="110"/>
      <c r="S17" s="110"/>
      <c r="T17" s="111"/>
      <c r="U17" s="111"/>
      <c r="V17" s="112"/>
      <c r="W17" s="106"/>
    </row>
    <row r="18" spans="2:23" ht="15" customHeight="1">
      <c r="B18" s="85"/>
      <c r="C18" s="99"/>
      <c r="D18" s="220" t="s">
        <v>56</v>
      </c>
      <c r="E18" s="221">
        <f ca="1">IFERROR(IF((E16/E15)&gt;100%,100%,(E16/E15)),"")</f>
        <v>1</v>
      </c>
      <c r="F18" s="101"/>
      <c r="G18" s="84"/>
      <c r="H18" s="85"/>
      <c r="I18" s="348" t="s">
        <v>152</v>
      </c>
      <c r="J18" s="348"/>
      <c r="K18" s="348"/>
      <c r="L18" s="203">
        <f>+L14+L15</f>
        <v>1650</v>
      </c>
      <c r="M18" s="149">
        <f>+M14+M15</f>
        <v>1120</v>
      </c>
      <c r="N18" s="154">
        <f>(M18/L18)*N11</f>
        <v>0.67878787878787883</v>
      </c>
      <c r="O18" s="90"/>
      <c r="P18" s="90"/>
      <c r="Q18" s="106"/>
      <c r="R18" s="106"/>
      <c r="S18" s="106"/>
      <c r="T18" s="106"/>
      <c r="U18" s="106"/>
      <c r="V18" s="106"/>
      <c r="W18" s="106"/>
    </row>
    <row r="19" spans="2:23" ht="15" customHeight="1">
      <c r="B19" s="85"/>
      <c r="C19" s="84"/>
      <c r="D19" s="84"/>
      <c r="E19" s="84"/>
      <c r="F19" s="84"/>
      <c r="G19" s="84"/>
      <c r="H19" s="99"/>
      <c r="I19" s="113"/>
      <c r="J19" s="113"/>
      <c r="K19" s="113"/>
      <c r="L19" s="113"/>
      <c r="M19" s="114"/>
      <c r="N19" s="113"/>
      <c r="O19" s="101"/>
      <c r="P19" s="90"/>
      <c r="Q19" s="84"/>
      <c r="W19" s="84"/>
    </row>
    <row r="20" spans="2:23" ht="15" customHeight="1">
      <c r="B20" s="85"/>
      <c r="C20" s="81"/>
      <c r="D20" s="356" t="s">
        <v>60</v>
      </c>
      <c r="E20" s="356"/>
      <c r="F20" s="83"/>
      <c r="G20" s="84"/>
      <c r="H20" s="84"/>
      <c r="I20" s="84"/>
      <c r="J20" s="84"/>
      <c r="K20" s="84"/>
      <c r="L20" s="84"/>
      <c r="M20" s="84"/>
      <c r="N20" s="84"/>
      <c r="O20" s="84"/>
      <c r="P20" s="90"/>
      <c r="Q20" s="84"/>
      <c r="W20" s="84"/>
    </row>
    <row r="21" spans="2:23" ht="15" customHeight="1">
      <c r="B21" s="85"/>
      <c r="C21" s="85"/>
      <c r="D21" s="84"/>
      <c r="E21" s="84"/>
      <c r="F21" s="90"/>
      <c r="G21" s="84"/>
      <c r="H21" s="81"/>
      <c r="I21" s="82"/>
      <c r="J21" s="82"/>
      <c r="K21" s="82"/>
      <c r="L21" s="82"/>
      <c r="M21" s="82"/>
      <c r="N21" s="82"/>
      <c r="O21" s="83"/>
      <c r="P21" s="90"/>
      <c r="Q21" s="84"/>
      <c r="W21" s="84"/>
    </row>
    <row r="22" spans="2:23" ht="15" customHeight="1">
      <c r="B22" s="85"/>
      <c r="C22" s="85"/>
      <c r="D22" s="204" t="s">
        <v>69</v>
      </c>
      <c r="E22" s="102">
        <f>+E23+E24</f>
        <v>115370500</v>
      </c>
      <c r="F22" s="90"/>
      <c r="G22" s="84"/>
      <c r="H22" s="85"/>
      <c r="I22" s="348" t="s">
        <v>89</v>
      </c>
      <c r="J22" s="348"/>
      <c r="K22" s="348"/>
      <c r="L22" s="348"/>
      <c r="M22" s="348"/>
      <c r="N22" s="349">
        <f>N18</f>
        <v>0.67878787878787883</v>
      </c>
      <c r="O22" s="90"/>
      <c r="P22" s="90"/>
      <c r="Q22" s="106"/>
      <c r="R22" s="106"/>
      <c r="S22" s="106"/>
      <c r="T22" s="106"/>
      <c r="U22" s="106"/>
      <c r="V22" s="106"/>
      <c r="W22" s="106"/>
    </row>
    <row r="23" spans="2:23" ht="15" customHeight="1">
      <c r="B23" s="85"/>
      <c r="C23" s="85"/>
      <c r="D23" s="204" t="s">
        <v>214</v>
      </c>
      <c r="E23" s="102">
        <f>95870684</f>
        <v>95870684</v>
      </c>
      <c r="F23" s="90"/>
      <c r="G23" s="84"/>
      <c r="H23" s="85"/>
      <c r="I23" s="348"/>
      <c r="J23" s="348"/>
      <c r="K23" s="348"/>
      <c r="L23" s="348"/>
      <c r="M23" s="348"/>
      <c r="N23" s="349"/>
      <c r="O23" s="90"/>
      <c r="P23" s="90"/>
      <c r="Q23" s="106"/>
      <c r="R23" s="115"/>
      <c r="S23" s="115"/>
      <c r="T23" s="115"/>
      <c r="U23" s="115"/>
      <c r="V23" s="116"/>
      <c r="W23" s="106"/>
    </row>
    <row r="24" spans="2:23" ht="15" customHeight="1">
      <c r="B24" s="85"/>
      <c r="C24" s="85"/>
      <c r="D24" s="204" t="s">
        <v>213</v>
      </c>
      <c r="E24" s="102">
        <v>19499816</v>
      </c>
      <c r="F24" s="90"/>
      <c r="G24" s="84"/>
      <c r="H24" s="99"/>
      <c r="I24" s="100"/>
      <c r="J24" s="100"/>
      <c r="K24" s="100"/>
      <c r="L24" s="100"/>
      <c r="M24" s="100"/>
      <c r="N24" s="100"/>
      <c r="O24" s="101"/>
      <c r="P24" s="90"/>
      <c r="Q24" s="106"/>
      <c r="R24" s="115"/>
      <c r="S24" s="115"/>
      <c r="T24" s="115"/>
      <c r="U24" s="115"/>
      <c r="V24" s="116"/>
      <c r="W24" s="106"/>
    </row>
    <row r="25" spans="2:23" ht="15" customHeight="1">
      <c r="B25" s="85"/>
      <c r="C25" s="85"/>
      <c r="D25" s="84"/>
      <c r="E25" s="84"/>
      <c r="F25" s="90"/>
      <c r="G25" s="84"/>
      <c r="H25" s="84"/>
      <c r="I25" s="84"/>
      <c r="J25" s="84"/>
      <c r="K25" s="84"/>
      <c r="L25" s="84"/>
      <c r="M25" s="84"/>
      <c r="N25" s="84"/>
      <c r="O25" s="84"/>
      <c r="P25" s="90"/>
      <c r="Q25" s="106"/>
      <c r="R25" s="115"/>
      <c r="S25" s="115"/>
      <c r="T25" s="115"/>
      <c r="U25" s="115"/>
      <c r="V25" s="116"/>
      <c r="W25" s="106"/>
    </row>
    <row r="26" spans="2:23" ht="15" customHeight="1">
      <c r="B26" s="85"/>
      <c r="C26" s="85"/>
      <c r="D26" s="204" t="s">
        <v>61</v>
      </c>
      <c r="E26" s="152">
        <v>6800850</v>
      </c>
      <c r="F26" s="90"/>
      <c r="G26" s="84"/>
      <c r="H26" s="81"/>
      <c r="I26" s="82"/>
      <c r="J26" s="82"/>
      <c r="K26" s="82"/>
      <c r="L26" s="82"/>
      <c r="M26" s="82"/>
      <c r="N26" s="82"/>
      <c r="O26" s="83"/>
      <c r="P26" s="90"/>
      <c r="Q26" s="106"/>
      <c r="R26" s="106"/>
      <c r="S26" s="106"/>
      <c r="T26" s="106"/>
      <c r="U26" s="106"/>
      <c r="V26" s="106"/>
      <c r="W26" s="106"/>
    </row>
    <row r="27" spans="2:23" ht="15" customHeight="1">
      <c r="B27" s="85"/>
      <c r="C27" s="85"/>
      <c r="D27" s="204" t="s">
        <v>62</v>
      </c>
      <c r="E27" s="152">
        <v>35335027</v>
      </c>
      <c r="F27" s="90"/>
      <c r="G27" s="84"/>
      <c r="H27" s="85"/>
      <c r="I27" s="368" t="s">
        <v>90</v>
      </c>
      <c r="J27" s="368"/>
      <c r="K27" s="368"/>
      <c r="L27" s="368"/>
      <c r="M27" s="368"/>
      <c r="N27" s="368"/>
      <c r="O27" s="90"/>
      <c r="P27" s="90"/>
      <c r="Q27" s="84"/>
      <c r="R27" s="84"/>
      <c r="S27" s="84"/>
      <c r="T27" s="84"/>
      <c r="U27" s="84"/>
      <c r="V27" s="84"/>
      <c r="W27" s="84"/>
    </row>
    <row r="28" spans="2:23" ht="15" customHeight="1">
      <c r="B28" s="85"/>
      <c r="C28" s="85"/>
      <c r="D28" s="204" t="s">
        <v>63</v>
      </c>
      <c r="E28" s="152">
        <v>0</v>
      </c>
      <c r="F28" s="90"/>
      <c r="G28" s="84"/>
      <c r="H28" s="99"/>
      <c r="I28" s="100"/>
      <c r="J28" s="100"/>
      <c r="K28" s="100"/>
      <c r="L28" s="100"/>
      <c r="M28" s="100"/>
      <c r="N28" s="100"/>
      <c r="O28" s="101"/>
      <c r="P28" s="90"/>
    </row>
    <row r="29" spans="2:23" ht="15" customHeight="1">
      <c r="B29" s="85"/>
      <c r="C29" s="85"/>
      <c r="D29" s="84"/>
      <c r="E29" s="84"/>
      <c r="F29" s="90"/>
      <c r="G29" s="84"/>
      <c r="H29" s="84"/>
      <c r="I29" s="84"/>
      <c r="J29" s="84"/>
      <c r="K29" s="84"/>
      <c r="L29" s="84"/>
      <c r="M29" s="84"/>
      <c r="N29" s="84"/>
      <c r="O29" s="84"/>
      <c r="P29" s="90"/>
    </row>
    <row r="30" spans="2:23" ht="15" customHeight="1">
      <c r="B30" s="85"/>
      <c r="C30" s="85"/>
      <c r="D30" s="103" t="s">
        <v>70</v>
      </c>
      <c r="E30" s="104">
        <f>SUM(E26:E28)</f>
        <v>42135877</v>
      </c>
      <c r="F30" s="90"/>
      <c r="G30" s="84"/>
      <c r="H30" s="81"/>
      <c r="I30" s="82"/>
      <c r="J30" s="82"/>
      <c r="K30" s="82"/>
      <c r="L30" s="82"/>
      <c r="M30" s="82"/>
      <c r="N30" s="82"/>
      <c r="O30" s="83"/>
      <c r="P30" s="90"/>
    </row>
    <row r="31" spans="2:23" ht="15" customHeight="1">
      <c r="B31" s="85"/>
      <c r="C31" s="85"/>
      <c r="D31" s="84"/>
      <c r="E31" s="84"/>
      <c r="F31" s="90"/>
      <c r="G31" s="84"/>
      <c r="H31" s="85"/>
      <c r="I31" s="349" t="s">
        <v>369</v>
      </c>
      <c r="J31" s="349"/>
      <c r="K31" s="349"/>
      <c r="L31" s="349"/>
      <c r="M31" s="349"/>
      <c r="N31" s="349"/>
      <c r="O31" s="90"/>
      <c r="P31" s="90"/>
    </row>
    <row r="32" spans="2:23" ht="15" customHeight="1">
      <c r="B32" s="85"/>
      <c r="C32" s="85"/>
      <c r="D32" s="203" t="s">
        <v>60</v>
      </c>
      <c r="E32" s="206">
        <f>E30/E22</f>
        <v>0.3652222795255286</v>
      </c>
      <c r="F32" s="90"/>
      <c r="G32" s="84"/>
      <c r="H32" s="85"/>
      <c r="I32" s="355"/>
      <c r="J32" s="355"/>
      <c r="K32" s="355"/>
      <c r="L32" s="355"/>
      <c r="M32" s="355"/>
      <c r="N32" s="84"/>
      <c r="O32" s="287"/>
      <c r="P32" s="90"/>
    </row>
    <row r="33" spans="2:16" ht="15" customHeight="1">
      <c r="B33" s="85"/>
      <c r="C33" s="85"/>
      <c r="D33" s="84"/>
      <c r="E33" s="84"/>
      <c r="F33" s="90"/>
      <c r="G33" s="84"/>
      <c r="H33" s="85"/>
      <c r="I33" s="376"/>
      <c r="J33" s="377"/>
      <c r="K33" s="377"/>
      <c r="L33" s="377"/>
      <c r="M33" s="377"/>
      <c r="N33" s="378"/>
      <c r="O33" s="90"/>
      <c r="P33" s="90"/>
    </row>
    <row r="34" spans="2:16" ht="15" customHeight="1">
      <c r="B34" s="85"/>
      <c r="C34" s="85"/>
      <c r="D34" s="350" t="s">
        <v>366</v>
      </c>
      <c r="E34" s="350"/>
      <c r="F34" s="90"/>
      <c r="G34" s="84"/>
      <c r="H34" s="85"/>
      <c r="I34" s="379"/>
      <c r="J34" s="355"/>
      <c r="K34" s="355"/>
      <c r="L34" s="355"/>
      <c r="M34" s="355"/>
      <c r="N34" s="380"/>
      <c r="O34" s="90"/>
      <c r="P34" s="90"/>
    </row>
    <row r="35" spans="2:16" ht="15" customHeight="1">
      <c r="B35" s="85"/>
      <c r="C35" s="85"/>
      <c r="D35" s="84"/>
      <c r="E35" s="84"/>
      <c r="F35" s="90"/>
      <c r="G35" s="84"/>
      <c r="H35" s="85"/>
      <c r="I35" s="381"/>
      <c r="J35" s="382"/>
      <c r="K35" s="382"/>
      <c r="L35" s="382"/>
      <c r="M35" s="382"/>
      <c r="N35" s="383"/>
      <c r="O35" s="90"/>
      <c r="P35" s="90"/>
    </row>
    <row r="36" spans="2:16">
      <c r="B36" s="85"/>
      <c r="C36" s="85"/>
      <c r="D36" s="281" t="s">
        <v>57</v>
      </c>
      <c r="E36" s="151">
        <v>43910</v>
      </c>
      <c r="F36" s="90"/>
      <c r="G36" s="84"/>
      <c r="H36" s="99"/>
      <c r="I36" s="100"/>
      <c r="J36" s="100"/>
      <c r="K36" s="100"/>
      <c r="L36" s="100"/>
      <c r="M36" s="100"/>
      <c r="N36" s="100"/>
      <c r="O36" s="101"/>
      <c r="P36" s="90"/>
    </row>
    <row r="37" spans="2:16" ht="15" customHeight="1">
      <c r="B37" s="85"/>
      <c r="C37" s="85"/>
      <c r="D37" s="281" t="s">
        <v>367</v>
      </c>
      <c r="E37" s="151">
        <v>43951</v>
      </c>
      <c r="F37" s="90"/>
      <c r="G37" s="84"/>
      <c r="H37" s="84"/>
      <c r="I37" s="84"/>
      <c r="J37" s="84"/>
      <c r="K37" s="84"/>
      <c r="L37" s="84"/>
      <c r="M37" s="84"/>
      <c r="N37" s="84"/>
      <c r="O37" s="84"/>
      <c r="P37" s="90"/>
    </row>
    <row r="38" spans="2:16" ht="15" customHeight="1">
      <c r="B38" s="85"/>
      <c r="C38" s="85"/>
      <c r="D38" s="281" t="s">
        <v>368</v>
      </c>
      <c r="E38" s="293">
        <v>1.3</v>
      </c>
      <c r="F38" s="90"/>
      <c r="G38" s="84"/>
      <c r="H38" s="84"/>
      <c r="I38" s="84"/>
      <c r="J38" s="84"/>
      <c r="K38" s="84"/>
      <c r="L38" s="84"/>
      <c r="M38" s="84"/>
      <c r="N38" s="84"/>
      <c r="O38" s="84"/>
      <c r="P38" s="90"/>
    </row>
    <row r="39" spans="2:16" ht="22.5" customHeight="1">
      <c r="B39" s="85"/>
      <c r="C39" s="99"/>
      <c r="D39" s="100"/>
      <c r="E39" s="100"/>
      <c r="F39" s="101"/>
      <c r="G39" s="84"/>
      <c r="H39" s="84"/>
      <c r="I39" s="84"/>
      <c r="J39" s="84"/>
      <c r="K39" s="84"/>
      <c r="L39" s="84"/>
      <c r="M39" s="84"/>
      <c r="N39" s="84"/>
      <c r="O39" s="84"/>
      <c r="P39" s="90"/>
    </row>
    <row r="40" spans="2:16">
      <c r="B40" s="85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90"/>
    </row>
    <row r="41" spans="2:16">
      <c r="B41" s="85"/>
      <c r="C41" s="354" t="s">
        <v>222</v>
      </c>
      <c r="D41" s="354"/>
      <c r="E41" s="354"/>
      <c r="F41" s="354"/>
      <c r="G41" s="354" t="s">
        <v>221</v>
      </c>
      <c r="H41" s="354"/>
      <c r="I41" s="354"/>
      <c r="J41" s="226" t="s">
        <v>223</v>
      </c>
      <c r="K41" s="226" t="s">
        <v>224</v>
      </c>
      <c r="L41" s="226" t="s">
        <v>225</v>
      </c>
      <c r="M41" s="226" t="s">
        <v>226</v>
      </c>
      <c r="N41" s="84"/>
      <c r="O41" s="84"/>
      <c r="P41" s="90"/>
    </row>
    <row r="42" spans="2:16" ht="44.25" customHeight="1">
      <c r="B42" s="85"/>
      <c r="C42" s="346" t="s">
        <v>231</v>
      </c>
      <c r="D42" s="346"/>
      <c r="E42" s="346"/>
      <c r="F42" s="346"/>
      <c r="G42" s="343" t="s">
        <v>230</v>
      </c>
      <c r="H42" s="343"/>
      <c r="I42" s="343"/>
      <c r="J42" s="304">
        <v>2730</v>
      </c>
      <c r="K42" s="318">
        <v>3409</v>
      </c>
      <c r="L42" s="242">
        <v>0.91</v>
      </c>
      <c r="M42" s="243">
        <v>1.1359999999999999</v>
      </c>
      <c r="N42" s="84"/>
      <c r="O42" s="84"/>
      <c r="P42" s="90"/>
    </row>
    <row r="43" spans="2:16">
      <c r="B43" s="99"/>
      <c r="C43" s="100"/>
      <c r="D43" s="100"/>
      <c r="E43" s="100"/>
      <c r="F43" s="100"/>
      <c r="G43" s="100"/>
      <c r="H43" s="100"/>
      <c r="I43" s="100"/>
      <c r="J43" s="218"/>
      <c r="K43" s="100"/>
      <c r="L43" s="100"/>
      <c r="M43" s="100"/>
      <c r="N43" s="100"/>
      <c r="O43" s="100"/>
      <c r="P43" s="101"/>
    </row>
    <row r="46" spans="2:16" ht="18.75">
      <c r="E46" s="215"/>
    </row>
    <row r="47" spans="2:16" ht="18.75">
      <c r="E47" s="215"/>
    </row>
    <row r="48" spans="2:16">
      <c r="E48" s="216"/>
    </row>
    <row r="49" spans="14:14">
      <c r="N49" s="214"/>
    </row>
  </sheetData>
  <sheetProtection selectLockedCells="1" selectUnlockedCells="1"/>
  <mergeCells count="25">
    <mergeCell ref="C41:F41"/>
    <mergeCell ref="G41:I41"/>
    <mergeCell ref="C42:F42"/>
    <mergeCell ref="G42:I42"/>
    <mergeCell ref="D9:E9"/>
    <mergeCell ref="I9:N9"/>
    <mergeCell ref="D20:E20"/>
    <mergeCell ref="D34:E34"/>
    <mergeCell ref="I31:N31"/>
    <mergeCell ref="I32:M32"/>
    <mergeCell ref="I33:N35"/>
    <mergeCell ref="C3:F6"/>
    <mergeCell ref="G3:O6"/>
    <mergeCell ref="I27:N27"/>
    <mergeCell ref="I11:M11"/>
    <mergeCell ref="I13:K13"/>
    <mergeCell ref="J14:K14"/>
    <mergeCell ref="I18:K18"/>
    <mergeCell ref="I22:M23"/>
    <mergeCell ref="N22:N23"/>
    <mergeCell ref="J15:K16"/>
    <mergeCell ref="I15:I16"/>
    <mergeCell ref="L15:L16"/>
    <mergeCell ref="M15:M16"/>
    <mergeCell ref="N15:N16"/>
  </mergeCells>
  <hyperlinks>
    <hyperlink ref="I27:M27" location="'PROYECTOS DASHBOARD'!I39" display="CLICK - GRAFICA DASHBOARD " xr:uid="{00000000-0004-0000-0600-000000000000}"/>
    <hyperlink ref="I27:N27" location="'PROYECTOS DASHBOARD'!I81" display="CLICK - GRAFICA DASHBOARD " xr:uid="{00000000-0004-0000-0600-000001000000}"/>
  </hyperlink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B1:V47"/>
  <sheetViews>
    <sheetView showGridLines="0" zoomScale="85" zoomScaleNormal="85" workbookViewId="0">
      <pane ySplit="6" topLeftCell="A7" activePane="bottomLeft" state="frozen"/>
      <selection pane="bottomLeft" activeCell="E14" sqref="E14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8" width="2.85546875" style="80" customWidth="1"/>
    <col min="9" max="9" width="10.85546875" style="80"/>
    <col min="10" max="10" width="16.7109375" style="80" customWidth="1"/>
    <col min="11" max="11" width="27.42578125" style="80" customWidth="1"/>
    <col min="12" max="12" width="17.28515625" style="80" customWidth="1"/>
    <col min="13" max="13" width="19.42578125" style="80" customWidth="1"/>
    <col min="14" max="14" width="16.28515625" style="80" customWidth="1"/>
    <col min="15" max="17" width="2.85546875" style="80" customWidth="1"/>
    <col min="18" max="20" width="10.7109375" style="80" customWidth="1"/>
    <col min="21" max="23" width="2.85546875" style="80" customWidth="1"/>
    <col min="24" max="16384" width="10.85546875" style="80"/>
  </cols>
  <sheetData>
    <row r="1" spans="2:22" ht="15" customHeight="1"/>
    <row r="2" spans="2:22" ht="15" customHeight="1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2:22" ht="15" customHeight="1">
      <c r="B3" s="85"/>
      <c r="C3" s="343"/>
      <c r="D3" s="343"/>
      <c r="E3" s="343"/>
      <c r="F3" s="343"/>
      <c r="G3" s="369" t="s">
        <v>256</v>
      </c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90"/>
    </row>
    <row r="4" spans="2:22" ht="15" customHeight="1">
      <c r="B4" s="85"/>
      <c r="C4" s="343"/>
      <c r="D4" s="343"/>
      <c r="E4" s="343"/>
      <c r="F4" s="343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90"/>
    </row>
    <row r="5" spans="2:22" ht="15" customHeight="1">
      <c r="B5" s="85"/>
      <c r="C5" s="343"/>
      <c r="D5" s="343"/>
      <c r="E5" s="343"/>
      <c r="F5" s="343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90"/>
    </row>
    <row r="6" spans="2:22" ht="15" customHeight="1">
      <c r="B6" s="85"/>
      <c r="C6" s="343"/>
      <c r="D6" s="343"/>
      <c r="E6" s="343"/>
      <c r="F6" s="343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90"/>
    </row>
    <row r="7" spans="2:22" ht="15" customHeight="1">
      <c r="B7" s="85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90"/>
    </row>
    <row r="8" spans="2:22" ht="15" customHeight="1"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2"/>
      <c r="O8" s="83"/>
      <c r="P8" s="84"/>
      <c r="Q8" s="81"/>
      <c r="R8" s="82"/>
      <c r="S8" s="82"/>
      <c r="T8" s="82"/>
      <c r="U8" s="83"/>
      <c r="V8" s="90"/>
    </row>
    <row r="9" spans="2:22" ht="15" customHeight="1">
      <c r="B9" s="85"/>
      <c r="C9" s="85"/>
      <c r="D9" s="350" t="s">
        <v>56</v>
      </c>
      <c r="E9" s="350"/>
      <c r="F9" s="90"/>
      <c r="G9" s="84"/>
      <c r="H9" s="85"/>
      <c r="I9" s="350" t="s">
        <v>73</v>
      </c>
      <c r="J9" s="350"/>
      <c r="K9" s="350"/>
      <c r="L9" s="350"/>
      <c r="M9" s="350"/>
      <c r="N9" s="350"/>
      <c r="O9" s="90"/>
      <c r="P9" s="84"/>
      <c r="Q9" s="85"/>
      <c r="R9" s="367" t="s">
        <v>89</v>
      </c>
      <c r="S9" s="367"/>
      <c r="T9" s="349">
        <f>+M28+N39</f>
        <v>0.84294999999999987</v>
      </c>
      <c r="U9" s="90"/>
      <c r="V9" s="90"/>
    </row>
    <row r="10" spans="2:22" ht="15" customHeight="1"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84"/>
      <c r="O10" s="90"/>
      <c r="P10" s="84"/>
      <c r="Q10" s="85"/>
      <c r="R10" s="367"/>
      <c r="S10" s="367"/>
      <c r="T10" s="349"/>
      <c r="U10" s="90"/>
      <c r="V10" s="90"/>
    </row>
    <row r="11" spans="2:22" ht="15" customHeight="1">
      <c r="B11" s="85"/>
      <c r="C11" s="85"/>
      <c r="D11" s="210" t="s">
        <v>57</v>
      </c>
      <c r="E11" s="151">
        <v>43679</v>
      </c>
      <c r="F11" s="90"/>
      <c r="G11" s="84"/>
      <c r="H11" s="85"/>
      <c r="I11" s="351" t="s">
        <v>72</v>
      </c>
      <c r="J11" s="351"/>
      <c r="K11" s="351"/>
      <c r="L11" s="351"/>
      <c r="M11" s="351"/>
      <c r="N11" s="92">
        <v>0.5</v>
      </c>
      <c r="O11" s="90"/>
      <c r="P11" s="84"/>
      <c r="Q11" s="85"/>
      <c r="R11" s="367"/>
      <c r="S11" s="367"/>
      <c r="T11" s="349"/>
      <c r="U11" s="90"/>
      <c r="V11" s="90"/>
    </row>
    <row r="12" spans="2:22" ht="15" customHeight="1">
      <c r="B12" s="85"/>
      <c r="C12" s="85"/>
      <c r="D12" s="210" t="s">
        <v>58</v>
      </c>
      <c r="E12" s="151" t="s">
        <v>252</v>
      </c>
      <c r="F12" s="90"/>
      <c r="G12" s="84"/>
      <c r="H12" s="85"/>
      <c r="I12" s="84"/>
      <c r="J12" s="84"/>
      <c r="K12" s="84"/>
      <c r="L12" s="84"/>
      <c r="M12" s="84"/>
      <c r="N12" s="84"/>
      <c r="O12" s="90"/>
      <c r="P12" s="84"/>
      <c r="Q12" s="99"/>
      <c r="R12" s="118"/>
      <c r="S12" s="118"/>
      <c r="T12" s="118"/>
      <c r="U12" s="101"/>
      <c r="V12" s="90"/>
    </row>
    <row r="13" spans="2:22" ht="15" customHeight="1">
      <c r="B13" s="85"/>
      <c r="C13" s="85"/>
      <c r="D13" s="210" t="s">
        <v>210</v>
      </c>
      <c r="E13" s="151">
        <v>43915</v>
      </c>
      <c r="F13" s="90"/>
      <c r="G13" s="84"/>
      <c r="H13" s="85"/>
      <c r="I13" s="84"/>
      <c r="J13" s="84"/>
      <c r="K13" s="84"/>
      <c r="L13" s="374" t="s">
        <v>91</v>
      </c>
      <c r="M13" s="374"/>
      <c r="N13" s="84"/>
      <c r="O13" s="90"/>
      <c r="P13" s="84"/>
      <c r="Q13" s="106"/>
      <c r="R13" s="177"/>
      <c r="S13" s="177"/>
      <c r="T13" s="177"/>
      <c r="U13" s="106"/>
      <c r="V13" s="90"/>
    </row>
    <row r="14" spans="2:22" ht="15" customHeight="1">
      <c r="B14" s="85"/>
      <c r="C14" s="85"/>
      <c r="D14" s="210" t="s">
        <v>215</v>
      </c>
      <c r="E14" s="151">
        <v>43962</v>
      </c>
      <c r="F14" s="90"/>
      <c r="G14" s="84"/>
      <c r="H14" s="85"/>
      <c r="I14" s="165">
        <v>1</v>
      </c>
      <c r="J14" s="166" t="s">
        <v>175</v>
      </c>
      <c r="K14" s="166" t="s">
        <v>176</v>
      </c>
      <c r="L14" s="396" t="s">
        <v>154</v>
      </c>
      <c r="M14" s="396"/>
      <c r="N14" s="209" t="str">
        <f>IF(L14="SI","3,84%","0%")</f>
        <v>3,84%</v>
      </c>
      <c r="O14" s="90"/>
      <c r="P14" s="84"/>
      <c r="Q14" s="81"/>
      <c r="R14" s="119"/>
      <c r="S14" s="119"/>
      <c r="T14" s="119"/>
      <c r="U14" s="83"/>
      <c r="V14" s="90"/>
    </row>
    <row r="15" spans="2:22" ht="15" customHeight="1">
      <c r="B15" s="85"/>
      <c r="C15" s="85"/>
      <c r="D15" s="210" t="s">
        <v>59</v>
      </c>
      <c r="E15" s="155" t="str">
        <f>IFERROR(E12-E11,"")</f>
        <v/>
      </c>
      <c r="F15" s="90"/>
      <c r="G15" s="84"/>
      <c r="H15" s="85"/>
      <c r="I15" s="165">
        <v>2</v>
      </c>
      <c r="J15" s="166" t="s">
        <v>177</v>
      </c>
      <c r="K15" s="166" t="s">
        <v>176</v>
      </c>
      <c r="L15" s="396" t="s">
        <v>154</v>
      </c>
      <c r="M15" s="396"/>
      <c r="N15" s="209" t="str">
        <f t="shared" ref="N15:N26" si="0">IF(L15="SI","3,84%","0%")</f>
        <v>3,84%</v>
      </c>
      <c r="O15" s="90"/>
      <c r="P15" s="84"/>
      <c r="Q15" s="85"/>
      <c r="R15" s="348" t="s">
        <v>90</v>
      </c>
      <c r="S15" s="348"/>
      <c r="T15" s="348"/>
      <c r="U15" s="90"/>
      <c r="V15" s="90"/>
    </row>
    <row r="16" spans="2:22" ht="15" customHeight="1">
      <c r="B16" s="85"/>
      <c r="C16" s="85"/>
      <c r="D16" s="96" t="s">
        <v>21</v>
      </c>
      <c r="E16" s="155">
        <f ca="1">TODAY()-E11</f>
        <v>433</v>
      </c>
      <c r="F16" s="90"/>
      <c r="G16" s="84"/>
      <c r="H16" s="85"/>
      <c r="I16" s="165">
        <v>3</v>
      </c>
      <c r="J16" s="166" t="s">
        <v>178</v>
      </c>
      <c r="K16" s="166" t="s">
        <v>176</v>
      </c>
      <c r="L16" s="396" t="s">
        <v>154</v>
      </c>
      <c r="M16" s="396"/>
      <c r="N16" s="209" t="str">
        <f t="shared" si="0"/>
        <v>3,84%</v>
      </c>
      <c r="O16" s="90"/>
      <c r="P16" s="84"/>
      <c r="Q16" s="99"/>
      <c r="R16" s="100"/>
      <c r="S16" s="100"/>
      <c r="T16" s="100"/>
      <c r="U16" s="101"/>
      <c r="V16" s="90"/>
    </row>
    <row r="17" spans="2:22" ht="15" customHeight="1">
      <c r="B17" s="85"/>
      <c r="C17" s="85"/>
      <c r="D17" s="84"/>
      <c r="E17" s="84"/>
      <c r="F17" s="90"/>
      <c r="G17" s="84"/>
      <c r="H17" s="85"/>
      <c r="I17" s="165">
        <v>4</v>
      </c>
      <c r="J17" s="166" t="s">
        <v>179</v>
      </c>
      <c r="K17" s="166" t="s">
        <v>176</v>
      </c>
      <c r="L17" s="396" t="s">
        <v>154</v>
      </c>
      <c r="M17" s="396"/>
      <c r="N17" s="209" t="str">
        <f t="shared" si="0"/>
        <v>3,84%</v>
      </c>
      <c r="O17" s="90"/>
      <c r="P17" s="84"/>
      <c r="Q17" s="106"/>
      <c r="R17" s="110"/>
      <c r="S17" s="110"/>
      <c r="T17" s="112"/>
      <c r="U17" s="106"/>
      <c r="V17" s="90"/>
    </row>
    <row r="18" spans="2:22" ht="15" customHeight="1">
      <c r="B18" s="85"/>
      <c r="C18" s="85"/>
      <c r="D18" s="203" t="s">
        <v>56</v>
      </c>
      <c r="E18" s="206" t="str">
        <f ca="1">IFERROR(IF((E16/E15)&gt;100%,100%,(E16/E15)),"")</f>
        <v/>
      </c>
      <c r="F18" s="90"/>
      <c r="G18" s="84"/>
      <c r="H18" s="85"/>
      <c r="I18" s="165">
        <v>5</v>
      </c>
      <c r="J18" s="166" t="s">
        <v>180</v>
      </c>
      <c r="K18" s="166" t="s">
        <v>176</v>
      </c>
      <c r="L18" s="396" t="s">
        <v>154</v>
      </c>
      <c r="M18" s="396"/>
      <c r="N18" s="209" t="str">
        <f t="shared" si="0"/>
        <v>3,84%</v>
      </c>
      <c r="O18" s="90"/>
      <c r="P18" s="84"/>
      <c r="Q18" s="106"/>
      <c r="R18" s="106"/>
      <c r="S18" s="106"/>
      <c r="T18" s="106"/>
      <c r="U18" s="106"/>
      <c r="V18" s="90"/>
    </row>
    <row r="19" spans="2:22" ht="15" customHeight="1">
      <c r="B19" s="85"/>
      <c r="C19" s="99"/>
      <c r="D19" s="100"/>
      <c r="E19" s="100"/>
      <c r="F19" s="101"/>
      <c r="G19" s="84"/>
      <c r="H19" s="85"/>
      <c r="I19" s="165">
        <v>6</v>
      </c>
      <c r="J19" s="166" t="s">
        <v>181</v>
      </c>
      <c r="K19" s="166" t="s">
        <v>176</v>
      </c>
      <c r="L19" s="396" t="s">
        <v>154</v>
      </c>
      <c r="M19" s="396"/>
      <c r="N19" s="209" t="str">
        <f t="shared" si="0"/>
        <v>3,84%</v>
      </c>
      <c r="O19" s="90"/>
      <c r="P19" s="84"/>
      <c r="Q19" s="81"/>
      <c r="R19" s="82"/>
      <c r="S19" s="82"/>
      <c r="T19" s="82"/>
      <c r="U19" s="83"/>
      <c r="V19" s="90"/>
    </row>
    <row r="20" spans="2:22" ht="15" customHeight="1">
      <c r="B20" s="85"/>
      <c r="C20" s="84"/>
      <c r="D20" s="84"/>
      <c r="E20" s="84"/>
      <c r="F20" s="84"/>
      <c r="G20" s="84"/>
      <c r="H20" s="85"/>
      <c r="I20" s="165">
        <v>7</v>
      </c>
      <c r="J20" s="166" t="s">
        <v>182</v>
      </c>
      <c r="K20" s="166" t="s">
        <v>176</v>
      </c>
      <c r="L20" s="396" t="s">
        <v>154</v>
      </c>
      <c r="M20" s="396"/>
      <c r="N20" s="209" t="str">
        <f t="shared" si="0"/>
        <v>3,84%</v>
      </c>
      <c r="O20" s="90"/>
      <c r="P20" s="84"/>
      <c r="Q20" s="85"/>
      <c r="R20" s="348" t="s">
        <v>370</v>
      </c>
      <c r="S20" s="348"/>
      <c r="T20" s="348"/>
      <c r="U20" s="90"/>
      <c r="V20" s="90"/>
    </row>
    <row r="21" spans="2:22" ht="15" customHeight="1">
      <c r="B21" s="85"/>
      <c r="C21" s="81"/>
      <c r="D21" s="82"/>
      <c r="E21" s="82"/>
      <c r="F21" s="83"/>
      <c r="G21" s="84"/>
      <c r="H21" s="85"/>
      <c r="I21" s="165">
        <v>8</v>
      </c>
      <c r="J21" s="166" t="s">
        <v>183</v>
      </c>
      <c r="K21" s="166" t="s">
        <v>176</v>
      </c>
      <c r="L21" s="396" t="s">
        <v>154</v>
      </c>
      <c r="M21" s="396"/>
      <c r="N21" s="209" t="str">
        <f t="shared" si="0"/>
        <v>3,84%</v>
      </c>
      <c r="O21" s="90"/>
      <c r="P21" s="84"/>
      <c r="Q21" s="85"/>
      <c r="R21" s="84"/>
      <c r="S21" s="84"/>
      <c r="T21" s="84"/>
      <c r="U21" s="90"/>
      <c r="V21" s="90"/>
    </row>
    <row r="22" spans="2:22" ht="15" customHeight="1">
      <c r="B22" s="85"/>
      <c r="C22" s="85"/>
      <c r="D22" s="350" t="s">
        <v>60</v>
      </c>
      <c r="E22" s="350"/>
      <c r="F22" s="90"/>
      <c r="G22" s="84"/>
      <c r="H22" s="85"/>
      <c r="I22" s="165">
        <v>9</v>
      </c>
      <c r="J22" s="166" t="s">
        <v>184</v>
      </c>
      <c r="K22" s="166" t="s">
        <v>176</v>
      </c>
      <c r="L22" s="396" t="s">
        <v>154</v>
      </c>
      <c r="M22" s="396"/>
      <c r="N22" s="209" t="str">
        <f t="shared" si="0"/>
        <v>3,84%</v>
      </c>
      <c r="O22" s="90"/>
      <c r="P22" s="84"/>
      <c r="Q22" s="167"/>
      <c r="R22" s="397"/>
      <c r="S22" s="398"/>
      <c r="T22" s="399"/>
      <c r="U22" s="140"/>
      <c r="V22" s="90"/>
    </row>
    <row r="23" spans="2:22" ht="15" customHeight="1">
      <c r="B23" s="85"/>
      <c r="C23" s="85"/>
      <c r="D23" s="84"/>
      <c r="E23" s="84"/>
      <c r="F23" s="90"/>
      <c r="G23" s="84"/>
      <c r="H23" s="85"/>
      <c r="I23" s="165">
        <v>10</v>
      </c>
      <c r="J23" s="166" t="s">
        <v>185</v>
      </c>
      <c r="K23" s="166" t="s">
        <v>186</v>
      </c>
      <c r="L23" s="396" t="s">
        <v>154</v>
      </c>
      <c r="M23" s="396"/>
      <c r="N23" s="209" t="str">
        <f t="shared" si="0"/>
        <v>3,84%</v>
      </c>
      <c r="O23" s="90"/>
      <c r="P23" s="84"/>
      <c r="Q23" s="167"/>
      <c r="R23" s="400"/>
      <c r="S23" s="401"/>
      <c r="T23" s="402"/>
      <c r="U23" s="140"/>
      <c r="V23" s="90"/>
    </row>
    <row r="24" spans="2:22" ht="15" customHeight="1">
      <c r="B24" s="85"/>
      <c r="C24" s="85"/>
      <c r="D24" s="204" t="s">
        <v>69</v>
      </c>
      <c r="E24" s="102">
        <v>454487184</v>
      </c>
      <c r="F24" s="90"/>
      <c r="G24" s="84"/>
      <c r="H24" s="85"/>
      <c r="I24" s="165">
        <v>11</v>
      </c>
      <c r="J24" s="166" t="s">
        <v>187</v>
      </c>
      <c r="K24" s="166" t="s">
        <v>176</v>
      </c>
      <c r="L24" s="396" t="s">
        <v>154</v>
      </c>
      <c r="M24" s="396"/>
      <c r="N24" s="209" t="str">
        <f t="shared" si="0"/>
        <v>3,84%</v>
      </c>
      <c r="O24" s="90"/>
      <c r="P24" s="84"/>
      <c r="Q24" s="167"/>
      <c r="R24" s="400"/>
      <c r="S24" s="401"/>
      <c r="T24" s="402"/>
      <c r="U24" s="140"/>
      <c r="V24" s="90"/>
    </row>
    <row r="25" spans="2:22" ht="15" customHeight="1">
      <c r="B25" s="85"/>
      <c r="C25" s="85"/>
      <c r="D25" s="84"/>
      <c r="E25" s="84"/>
      <c r="F25" s="90"/>
      <c r="G25" s="84"/>
      <c r="H25" s="85"/>
      <c r="I25" s="165">
        <v>12</v>
      </c>
      <c r="J25" s="166" t="s">
        <v>188</v>
      </c>
      <c r="K25" s="166" t="s">
        <v>176</v>
      </c>
      <c r="L25" s="396" t="s">
        <v>154</v>
      </c>
      <c r="M25" s="396"/>
      <c r="N25" s="209" t="str">
        <f t="shared" si="0"/>
        <v>3,84%</v>
      </c>
      <c r="O25" s="90"/>
      <c r="P25" s="84"/>
      <c r="Q25" s="167"/>
      <c r="R25" s="400"/>
      <c r="S25" s="401"/>
      <c r="T25" s="402"/>
      <c r="U25" s="140"/>
      <c r="V25" s="90"/>
    </row>
    <row r="26" spans="2:22" ht="15" customHeight="1">
      <c r="B26" s="85"/>
      <c r="C26" s="85"/>
      <c r="D26" s="204" t="s">
        <v>61</v>
      </c>
      <c r="E26" s="152">
        <v>66969550</v>
      </c>
      <c r="F26" s="90"/>
      <c r="G26" s="84"/>
      <c r="H26" s="85"/>
      <c r="I26" s="165">
        <v>13</v>
      </c>
      <c r="J26" s="166" t="s">
        <v>189</v>
      </c>
      <c r="K26" s="166" t="s">
        <v>176</v>
      </c>
      <c r="L26" s="396" t="s">
        <v>154</v>
      </c>
      <c r="M26" s="396"/>
      <c r="N26" s="209" t="str">
        <f t="shared" si="0"/>
        <v>3,84%</v>
      </c>
      <c r="O26" s="90"/>
      <c r="P26" s="84"/>
      <c r="Q26" s="167"/>
      <c r="R26" s="400"/>
      <c r="S26" s="401"/>
      <c r="T26" s="402"/>
      <c r="U26" s="140"/>
      <c r="V26" s="90"/>
    </row>
    <row r="27" spans="2:22" ht="15" customHeight="1">
      <c r="B27" s="85"/>
      <c r="C27" s="85"/>
      <c r="D27" s="204" t="s">
        <v>62</v>
      </c>
      <c r="E27" s="152">
        <v>16623747</v>
      </c>
      <c r="F27" s="90"/>
      <c r="G27" s="84"/>
      <c r="H27" s="85"/>
      <c r="I27" s="211"/>
      <c r="J27" s="162"/>
      <c r="K27" s="162"/>
      <c r="L27" s="163"/>
      <c r="M27" s="163"/>
      <c r="N27" s="164"/>
      <c r="O27" s="90"/>
      <c r="P27" s="84"/>
      <c r="Q27" s="85"/>
      <c r="R27" s="400"/>
      <c r="S27" s="401"/>
      <c r="T27" s="402"/>
      <c r="U27" s="90"/>
      <c r="V27" s="90"/>
    </row>
    <row r="28" spans="2:22" ht="15" customHeight="1">
      <c r="B28" s="85"/>
      <c r="C28" s="85"/>
      <c r="D28" s="204" t="s">
        <v>63</v>
      </c>
      <c r="E28" s="152">
        <v>34602894</v>
      </c>
      <c r="F28" s="90"/>
      <c r="G28" s="84"/>
      <c r="H28" s="85"/>
      <c r="I28" s="348" t="s">
        <v>142</v>
      </c>
      <c r="J28" s="348"/>
      <c r="K28" s="348"/>
      <c r="L28" s="348"/>
      <c r="M28" s="349">
        <f>+N14+N15+N16+N17+N18+N19+N20+N22+N21+N23+N24+N25+N26</f>
        <v>0.49919999999999992</v>
      </c>
      <c r="N28" s="349"/>
      <c r="O28" s="90"/>
      <c r="P28" s="84"/>
      <c r="Q28" s="85"/>
      <c r="R28" s="403"/>
      <c r="S28" s="404"/>
      <c r="T28" s="405"/>
      <c r="U28" s="90"/>
      <c r="V28" s="90"/>
    </row>
    <row r="29" spans="2:22" ht="15" customHeight="1">
      <c r="B29" s="85"/>
      <c r="C29" s="85"/>
      <c r="D29" s="204" t="s">
        <v>64</v>
      </c>
      <c r="E29" s="152">
        <v>138587343</v>
      </c>
      <c r="F29" s="90"/>
      <c r="G29" s="84"/>
      <c r="H29" s="85"/>
      <c r="I29" s="191"/>
      <c r="J29" s="191"/>
      <c r="K29" s="191"/>
      <c r="L29" s="191"/>
      <c r="M29" s="192"/>
      <c r="N29" s="192"/>
      <c r="O29" s="90"/>
      <c r="P29" s="84"/>
      <c r="Q29" s="99"/>
      <c r="R29" s="100"/>
      <c r="S29" s="100"/>
      <c r="T29" s="100"/>
      <c r="U29" s="101"/>
      <c r="V29" s="90"/>
    </row>
    <row r="30" spans="2:22" ht="15" customHeight="1">
      <c r="B30" s="85"/>
      <c r="C30" s="85"/>
      <c r="D30" s="204" t="s">
        <v>65</v>
      </c>
      <c r="E30" s="152">
        <v>73010998</v>
      </c>
      <c r="F30" s="90"/>
      <c r="G30" s="84"/>
      <c r="H30" s="82"/>
      <c r="I30" s="82"/>
      <c r="J30" s="82"/>
      <c r="K30" s="82"/>
      <c r="L30" s="82"/>
      <c r="M30" s="82"/>
      <c r="N30" s="82"/>
      <c r="O30" s="82"/>
      <c r="P30" s="84"/>
      <c r="Q30" s="84"/>
      <c r="R30" s="84"/>
      <c r="S30" s="84"/>
      <c r="T30" s="84"/>
      <c r="U30" s="84"/>
      <c r="V30" s="90"/>
    </row>
    <row r="31" spans="2:22" ht="15" customHeight="1">
      <c r="B31" s="85"/>
      <c r="C31" s="85"/>
      <c r="D31" s="204" t="s">
        <v>66</v>
      </c>
      <c r="E31" s="152">
        <v>0</v>
      </c>
      <c r="F31" s="90"/>
      <c r="G31" s="84"/>
      <c r="H31" s="84"/>
      <c r="I31" s="350" t="s">
        <v>74</v>
      </c>
      <c r="J31" s="350"/>
      <c r="K31" s="350"/>
      <c r="L31" s="350"/>
      <c r="M31" s="350"/>
      <c r="N31" s="350"/>
      <c r="O31" s="84"/>
      <c r="P31" s="84"/>
      <c r="Q31" s="84"/>
      <c r="R31" s="217"/>
      <c r="S31" s="84"/>
      <c r="T31" s="84"/>
      <c r="U31" s="84"/>
      <c r="V31" s="90"/>
    </row>
    <row r="32" spans="2:22" ht="15" customHeight="1">
      <c r="B32" s="85"/>
      <c r="C32" s="85"/>
      <c r="D32" s="204" t="s">
        <v>67</v>
      </c>
      <c r="E32" s="152">
        <v>0</v>
      </c>
      <c r="F32" s="90"/>
      <c r="G32" s="84"/>
      <c r="H32" s="81"/>
      <c r="I32" s="82"/>
      <c r="J32" s="82"/>
      <c r="K32" s="82"/>
      <c r="L32" s="82"/>
      <c r="M32" s="82"/>
      <c r="N32" s="82"/>
      <c r="O32" s="83"/>
      <c r="P32" s="84"/>
      <c r="Q32" s="84"/>
      <c r="R32" s="84"/>
      <c r="S32" s="84"/>
      <c r="T32" s="84"/>
      <c r="U32" s="84"/>
      <c r="V32" s="90"/>
    </row>
    <row r="33" spans="2:22" ht="15" customHeight="1">
      <c r="B33" s="85"/>
      <c r="C33" s="85"/>
      <c r="D33" s="204" t="s">
        <v>68</v>
      </c>
      <c r="E33" s="152">
        <v>0</v>
      </c>
      <c r="F33" s="90"/>
      <c r="G33" s="84"/>
      <c r="H33" s="85"/>
      <c r="I33" s="84"/>
      <c r="J33" s="120"/>
      <c r="K33" s="120"/>
      <c r="L33" s="351" t="s">
        <v>72</v>
      </c>
      <c r="M33" s="351"/>
      <c r="N33" s="92">
        <v>0.5</v>
      </c>
      <c r="O33" s="90"/>
      <c r="P33" s="84"/>
      <c r="Q33" s="84"/>
      <c r="R33" s="217"/>
      <c r="S33" s="84"/>
      <c r="T33" s="84"/>
      <c r="U33" s="84"/>
      <c r="V33" s="90"/>
    </row>
    <row r="34" spans="2:22" ht="15" customHeight="1">
      <c r="B34" s="85"/>
      <c r="C34" s="85"/>
      <c r="D34" s="84"/>
      <c r="E34" s="84"/>
      <c r="F34" s="90"/>
      <c r="G34" s="84"/>
      <c r="H34" s="85"/>
      <c r="I34" s="84"/>
      <c r="J34" s="84"/>
      <c r="K34" s="84"/>
      <c r="L34" s="84"/>
      <c r="M34" s="84"/>
      <c r="N34" s="84"/>
      <c r="O34" s="90"/>
      <c r="P34" s="84"/>
      <c r="Q34" s="84"/>
      <c r="R34" s="84"/>
      <c r="S34" s="84"/>
      <c r="T34" s="84"/>
      <c r="U34" s="84"/>
      <c r="V34" s="90"/>
    </row>
    <row r="35" spans="2:22" ht="15" customHeight="1">
      <c r="B35" s="85"/>
      <c r="C35" s="85"/>
      <c r="D35" s="103" t="s">
        <v>70</v>
      </c>
      <c r="E35" s="104">
        <f>SUM(E26:E33)</f>
        <v>329794532</v>
      </c>
      <c r="F35" s="90"/>
      <c r="G35" s="84"/>
      <c r="H35" s="85"/>
      <c r="I35" s="344" t="s">
        <v>75</v>
      </c>
      <c r="J35" s="356"/>
      <c r="K35" s="345"/>
      <c r="L35" s="205" t="s">
        <v>86</v>
      </c>
      <c r="M35" s="95" t="s">
        <v>87</v>
      </c>
      <c r="N35" s="95" t="s">
        <v>88</v>
      </c>
      <c r="O35" s="90"/>
      <c r="P35" s="84"/>
      <c r="Q35" s="84"/>
      <c r="R35" s="84"/>
      <c r="S35" s="84"/>
      <c r="T35" s="84"/>
      <c r="U35" s="84"/>
      <c r="V35" s="90"/>
    </row>
    <row r="36" spans="2:22" ht="15" customHeight="1">
      <c r="B36" s="85"/>
      <c r="C36" s="85"/>
      <c r="D36" s="84"/>
      <c r="E36" s="84"/>
      <c r="F36" s="90"/>
      <c r="G36" s="84"/>
      <c r="H36" s="85"/>
      <c r="I36" s="409" t="s">
        <v>100</v>
      </c>
      <c r="J36" s="409"/>
      <c r="K36" s="409"/>
      <c r="L36" s="204">
        <v>960</v>
      </c>
      <c r="M36" s="208">
        <v>560</v>
      </c>
      <c r="N36" s="98">
        <f>+M36/L36</f>
        <v>0.58333333333333337</v>
      </c>
      <c r="O36" s="90"/>
      <c r="P36" s="84"/>
      <c r="Q36" s="84"/>
      <c r="R36" s="84"/>
      <c r="S36" s="84"/>
      <c r="T36" s="84"/>
      <c r="U36" s="84"/>
      <c r="V36" s="90"/>
    </row>
    <row r="37" spans="2:22" ht="15" customHeight="1">
      <c r="B37" s="85"/>
      <c r="C37" s="85"/>
      <c r="D37" s="203" t="s">
        <v>60</v>
      </c>
      <c r="E37" s="206">
        <f>E35/E24</f>
        <v>0.72564099409236582</v>
      </c>
      <c r="F37" s="90"/>
      <c r="G37" s="84"/>
      <c r="H37" s="85"/>
      <c r="I37" s="409" t="s">
        <v>382</v>
      </c>
      <c r="J37" s="409"/>
      <c r="K37" s="409"/>
      <c r="L37" s="204">
        <v>320</v>
      </c>
      <c r="M37" s="208">
        <v>320</v>
      </c>
      <c r="N37" s="98">
        <f t="shared" ref="N37" si="1">+M37/L37</f>
        <v>1</v>
      </c>
      <c r="O37" s="90"/>
      <c r="P37" s="84"/>
      <c r="Q37" s="84"/>
      <c r="R37" s="84"/>
      <c r="S37" s="84"/>
      <c r="T37" s="84"/>
      <c r="U37" s="84"/>
      <c r="V37" s="90"/>
    </row>
    <row r="38" spans="2:22" ht="15" customHeight="1">
      <c r="B38" s="85"/>
      <c r="C38" s="99"/>
      <c r="D38" s="100"/>
      <c r="E38" s="100"/>
      <c r="F38" s="101"/>
      <c r="G38" s="84"/>
      <c r="H38" s="85"/>
      <c r="I38" s="84"/>
      <c r="J38" s="84"/>
      <c r="K38" s="84"/>
      <c r="L38" s="84"/>
      <c r="M38" s="211"/>
      <c r="N38" s="84"/>
      <c r="O38" s="90"/>
      <c r="P38" s="84"/>
      <c r="Q38" s="84"/>
      <c r="R38" s="84"/>
      <c r="S38" s="84"/>
      <c r="T38" s="84"/>
      <c r="U38" s="84"/>
      <c r="V38" s="90"/>
    </row>
    <row r="39" spans="2:22" ht="15" customHeight="1">
      <c r="B39" s="85"/>
      <c r="C39" s="84"/>
      <c r="D39" s="84"/>
      <c r="E39" s="84"/>
      <c r="F39" s="84"/>
      <c r="G39" s="84"/>
      <c r="H39" s="85"/>
      <c r="I39" s="367" t="s">
        <v>143</v>
      </c>
      <c r="J39" s="367"/>
      <c r="K39" s="367"/>
      <c r="L39" s="203">
        <f>+L36+L37</f>
        <v>1280</v>
      </c>
      <c r="M39" s="203">
        <f>+M36+M37</f>
        <v>880</v>
      </c>
      <c r="N39" s="206">
        <f>+(M39/L39)*N33</f>
        <v>0.34375</v>
      </c>
      <c r="O39" s="90"/>
      <c r="P39" s="84"/>
      <c r="Q39" s="84"/>
      <c r="R39" s="84"/>
      <c r="S39" s="84"/>
      <c r="T39" s="84"/>
      <c r="U39" s="84"/>
      <c r="V39" s="90"/>
    </row>
    <row r="40" spans="2:22" ht="15" customHeight="1">
      <c r="B40" s="85"/>
      <c r="C40" s="106"/>
      <c r="D40" s="106"/>
      <c r="E40" s="106"/>
      <c r="F40" s="106"/>
      <c r="G40" s="106"/>
      <c r="H40" s="136"/>
      <c r="I40" s="142"/>
      <c r="J40" s="142"/>
      <c r="K40" s="142"/>
      <c r="L40" s="143"/>
      <c r="M40" s="143"/>
      <c r="N40" s="144"/>
      <c r="O40" s="219"/>
      <c r="P40" s="106"/>
      <c r="Q40" s="84"/>
      <c r="R40" s="84"/>
      <c r="S40" s="84"/>
      <c r="T40" s="84"/>
      <c r="U40" s="84"/>
      <c r="V40" s="90"/>
    </row>
    <row r="41" spans="2:22" ht="15" customHeight="1">
      <c r="B41" s="85"/>
      <c r="C41" s="106"/>
      <c r="D41" s="106"/>
      <c r="E41" s="106"/>
      <c r="F41" s="106"/>
      <c r="G41" s="106"/>
      <c r="H41" s="106"/>
      <c r="I41" s="190"/>
      <c r="J41" s="190"/>
      <c r="K41" s="190"/>
      <c r="L41" s="191"/>
      <c r="M41" s="191"/>
      <c r="N41" s="192"/>
      <c r="O41" s="106"/>
      <c r="P41" s="106"/>
      <c r="Q41" s="84"/>
      <c r="R41" s="84"/>
      <c r="S41" s="84"/>
      <c r="T41" s="84"/>
      <c r="U41" s="84"/>
      <c r="V41" s="90"/>
    </row>
    <row r="42" spans="2:22" ht="30" customHeight="1">
      <c r="B42" s="85"/>
      <c r="C42" s="106"/>
      <c r="D42" s="410" t="s">
        <v>222</v>
      </c>
      <c r="E42" s="410"/>
      <c r="F42" s="410"/>
      <c r="G42" s="410"/>
      <c r="H42" s="410" t="s">
        <v>221</v>
      </c>
      <c r="I42" s="410"/>
      <c r="J42" s="410"/>
      <c r="K42" s="232" t="s">
        <v>223</v>
      </c>
      <c r="L42" s="232" t="s">
        <v>224</v>
      </c>
      <c r="M42" s="232" t="s">
        <v>225</v>
      </c>
      <c r="N42" s="232" t="s">
        <v>226</v>
      </c>
      <c r="O42" s="106"/>
      <c r="P42" s="106"/>
      <c r="Q42" s="84"/>
      <c r="R42" s="84"/>
      <c r="S42" s="84"/>
      <c r="T42" s="84"/>
      <c r="U42" s="84"/>
      <c r="V42" s="90"/>
    </row>
    <row r="43" spans="2:22" ht="69.95" customHeight="1">
      <c r="B43" s="85"/>
      <c r="C43" s="106"/>
      <c r="D43" s="406" t="s">
        <v>232</v>
      </c>
      <c r="E43" s="407"/>
      <c r="F43" s="407"/>
      <c r="G43" s="408"/>
      <c r="H43" s="343" t="s">
        <v>233</v>
      </c>
      <c r="I43" s="343"/>
      <c r="J43" s="343"/>
      <c r="K43" s="225">
        <f>8+9+9</f>
        <v>26</v>
      </c>
      <c r="L43" s="237">
        <f>8+9+13</f>
        <v>30</v>
      </c>
      <c r="M43" s="228">
        <v>0.81299999999999994</v>
      </c>
      <c r="N43" s="228">
        <v>0.93799999999999994</v>
      </c>
      <c r="O43" s="106"/>
      <c r="P43" s="106"/>
      <c r="Q43" s="84"/>
      <c r="R43" s="84"/>
      <c r="S43" s="84"/>
      <c r="T43" s="84"/>
      <c r="U43" s="84"/>
      <c r="V43" s="90"/>
    </row>
    <row r="44" spans="2:22" ht="69.95" customHeight="1">
      <c r="B44" s="85"/>
      <c r="C44" s="84"/>
      <c r="D44" s="406" t="s">
        <v>234</v>
      </c>
      <c r="E44" s="407"/>
      <c r="F44" s="407"/>
      <c r="G44" s="408"/>
      <c r="H44" s="343"/>
      <c r="I44" s="343"/>
      <c r="J44" s="343"/>
      <c r="K44" s="230">
        <f>400+375+400</f>
        <v>1175</v>
      </c>
      <c r="L44" s="233">
        <f>400+375+264</f>
        <v>1039</v>
      </c>
      <c r="M44" s="231">
        <v>0.78300000000000003</v>
      </c>
      <c r="N44" s="228">
        <v>0.69299999999999995</v>
      </c>
      <c r="O44" s="84"/>
      <c r="P44" s="84"/>
      <c r="Q44" s="84"/>
      <c r="R44" s="84"/>
      <c r="S44" s="84"/>
      <c r="T44" s="84"/>
      <c r="U44" s="84"/>
      <c r="V44" s="90"/>
    </row>
    <row r="45" spans="2:22"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1"/>
    </row>
    <row r="46" spans="2:22">
      <c r="H46" s="84"/>
      <c r="I46" s="84"/>
      <c r="J46" s="84"/>
      <c r="K46" s="84"/>
      <c r="L46" s="84"/>
      <c r="M46" s="84"/>
      <c r="N46" s="84"/>
      <c r="O46" s="84"/>
      <c r="P46" s="84"/>
    </row>
    <row r="47" spans="2:22">
      <c r="I47" s="84"/>
      <c r="J47" s="84"/>
      <c r="K47" s="84"/>
      <c r="L47" s="84"/>
      <c r="M47" s="84"/>
      <c r="N47" s="84"/>
      <c r="P47" s="84"/>
    </row>
  </sheetData>
  <sheetProtection selectLockedCells="1" selectUnlockedCells="1"/>
  <mergeCells count="38">
    <mergeCell ref="I39:K39"/>
    <mergeCell ref="I31:N31"/>
    <mergeCell ref="D42:G42"/>
    <mergeCell ref="H42:J42"/>
    <mergeCell ref="D43:G43"/>
    <mergeCell ref="H43:J44"/>
    <mergeCell ref="D44:G44"/>
    <mergeCell ref="D22:E22"/>
    <mergeCell ref="L13:M13"/>
    <mergeCell ref="L14:M14"/>
    <mergeCell ref="L15:M15"/>
    <mergeCell ref="L16:M16"/>
    <mergeCell ref="L17:M17"/>
    <mergeCell ref="L18:M18"/>
    <mergeCell ref="L19:M19"/>
    <mergeCell ref="L20:M20"/>
    <mergeCell ref="I35:K35"/>
    <mergeCell ref="I36:K36"/>
    <mergeCell ref="I37:K37"/>
    <mergeCell ref="L33:M33"/>
    <mergeCell ref="C3:F6"/>
    <mergeCell ref="G3:U6"/>
    <mergeCell ref="D9:E9"/>
    <mergeCell ref="I9:N9"/>
    <mergeCell ref="I11:M11"/>
    <mergeCell ref="R15:T15"/>
    <mergeCell ref="R9:S11"/>
    <mergeCell ref="T9:T11"/>
    <mergeCell ref="L22:M22"/>
    <mergeCell ref="L21:M21"/>
    <mergeCell ref="R20:T20"/>
    <mergeCell ref="R22:T28"/>
    <mergeCell ref="I28:L28"/>
    <mergeCell ref="M28:N28"/>
    <mergeCell ref="L23:M23"/>
    <mergeCell ref="L24:M24"/>
    <mergeCell ref="L25:M25"/>
    <mergeCell ref="L26:M26"/>
  </mergeCells>
  <hyperlinks>
    <hyperlink ref="R15:T15" location="'PROYECTOS DASHBOARD'!I39" display="CLICK - GRAFICA DASHBOARD " xr:uid="{00000000-0004-0000-0700-000000000000}"/>
  </hyperlink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A2:Y68"/>
  <sheetViews>
    <sheetView showGridLines="0" zoomScale="85" zoomScaleNormal="85" workbookViewId="0">
      <pane ySplit="6" topLeftCell="A7" activePane="bottomLeft" state="frozen"/>
      <selection pane="bottomLeft" activeCell="E12" sqref="E12"/>
    </sheetView>
  </sheetViews>
  <sheetFormatPr baseColWidth="10" defaultColWidth="10.85546875" defaultRowHeight="15"/>
  <cols>
    <col min="1" max="3" width="2.85546875" style="80" customWidth="1"/>
    <col min="4" max="4" width="24.85546875" style="80" customWidth="1"/>
    <col min="5" max="5" width="21.140625" style="80" customWidth="1"/>
    <col min="6" max="8" width="2.85546875" style="80" customWidth="1"/>
    <col min="9" max="9" width="14.85546875" style="80" customWidth="1"/>
    <col min="10" max="10" width="21.7109375" style="80" bestFit="1" customWidth="1"/>
    <col min="11" max="11" width="13.28515625" style="80" bestFit="1" customWidth="1"/>
    <col min="12" max="12" width="18.28515625" style="80" bestFit="1" customWidth="1"/>
    <col min="13" max="13" width="18.7109375" style="80" customWidth="1"/>
    <col min="14" max="16" width="2.85546875" style="80" customWidth="1"/>
    <col min="17" max="18" width="12.7109375" style="80" customWidth="1"/>
    <col min="19" max="21" width="18.7109375" style="80" customWidth="1"/>
    <col min="22" max="24" width="2.85546875" style="80" customWidth="1"/>
    <col min="25" max="16384" width="10.85546875" style="80"/>
  </cols>
  <sheetData>
    <row r="2" spans="2:25"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3"/>
    </row>
    <row r="3" spans="2:25" ht="15" customHeight="1">
      <c r="B3" s="85"/>
      <c r="C3" s="376"/>
      <c r="D3" s="377"/>
      <c r="E3" s="377"/>
      <c r="F3" s="378"/>
      <c r="G3" s="411" t="s">
        <v>257</v>
      </c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3"/>
      <c r="W3" s="90"/>
    </row>
    <row r="4" spans="2:25" ht="15" customHeight="1">
      <c r="B4" s="85"/>
      <c r="C4" s="379"/>
      <c r="D4" s="355"/>
      <c r="E4" s="355"/>
      <c r="F4" s="380"/>
      <c r="G4" s="414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6"/>
      <c r="W4" s="90"/>
    </row>
    <row r="5" spans="2:25" ht="15" customHeight="1">
      <c r="B5" s="85"/>
      <c r="C5" s="379"/>
      <c r="D5" s="355"/>
      <c r="E5" s="355"/>
      <c r="F5" s="380"/>
      <c r="G5" s="414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6"/>
      <c r="W5" s="90"/>
    </row>
    <row r="6" spans="2:25" ht="15" customHeight="1">
      <c r="B6" s="85"/>
      <c r="C6" s="381"/>
      <c r="D6" s="382"/>
      <c r="E6" s="382"/>
      <c r="F6" s="383"/>
      <c r="G6" s="417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9"/>
      <c r="W6" s="90"/>
    </row>
    <row r="7" spans="2:25">
      <c r="B7" s="85"/>
      <c r="C7" s="84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84"/>
      <c r="W7" s="90"/>
    </row>
    <row r="8" spans="2:25">
      <c r="B8" s="85"/>
      <c r="C8" s="81"/>
      <c r="D8" s="82"/>
      <c r="E8" s="82"/>
      <c r="F8" s="83"/>
      <c r="G8" s="84"/>
      <c r="H8" s="81"/>
      <c r="I8" s="82"/>
      <c r="J8" s="82"/>
      <c r="K8" s="82"/>
      <c r="L8" s="82"/>
      <c r="M8" s="82"/>
      <c r="N8" s="83"/>
      <c r="O8" s="84"/>
      <c r="P8" s="81"/>
      <c r="Q8" s="82"/>
      <c r="R8" s="82"/>
      <c r="S8" s="82"/>
      <c r="T8" s="82"/>
      <c r="U8" s="82"/>
      <c r="V8" s="83"/>
      <c r="W8" s="90"/>
    </row>
    <row r="9" spans="2:25">
      <c r="B9" s="85"/>
      <c r="C9" s="85"/>
      <c r="D9" s="350" t="s">
        <v>56</v>
      </c>
      <c r="E9" s="350"/>
      <c r="F9" s="90"/>
      <c r="G9" s="84"/>
      <c r="H9" s="85"/>
      <c r="I9" s="350" t="s">
        <v>73</v>
      </c>
      <c r="J9" s="350"/>
      <c r="K9" s="350"/>
      <c r="L9" s="350"/>
      <c r="M9" s="350"/>
      <c r="N9" s="90"/>
      <c r="O9" s="84"/>
      <c r="P9" s="85"/>
      <c r="Q9" s="350" t="s">
        <v>385</v>
      </c>
      <c r="R9" s="350"/>
      <c r="S9" s="350"/>
      <c r="T9" s="350"/>
      <c r="U9" s="350"/>
      <c r="V9" s="90"/>
      <c r="W9" s="90"/>
    </row>
    <row r="10" spans="2:25">
      <c r="B10" s="85"/>
      <c r="C10" s="85"/>
      <c r="D10" s="84"/>
      <c r="E10" s="84"/>
      <c r="F10" s="90"/>
      <c r="G10" s="84"/>
      <c r="H10" s="85"/>
      <c r="I10" s="84"/>
      <c r="J10" s="84"/>
      <c r="K10" s="84"/>
      <c r="L10" s="84"/>
      <c r="M10" s="84"/>
      <c r="N10" s="90"/>
      <c r="O10" s="84"/>
      <c r="P10" s="85"/>
      <c r="Q10" s="84"/>
      <c r="R10" s="84"/>
      <c r="S10" s="84"/>
      <c r="T10" s="84"/>
      <c r="U10" s="84"/>
      <c r="V10" s="90"/>
      <c r="W10" s="90"/>
      <c r="Y10" s="273"/>
    </row>
    <row r="11" spans="2:25">
      <c r="B11" s="85"/>
      <c r="C11" s="85"/>
      <c r="D11" s="210" t="s">
        <v>57</v>
      </c>
      <c r="E11" s="151">
        <v>43685</v>
      </c>
      <c r="F11" s="90"/>
      <c r="G11" s="84"/>
      <c r="H11" s="85"/>
      <c r="I11" s="351" t="s">
        <v>72</v>
      </c>
      <c r="J11" s="351"/>
      <c r="K11" s="351"/>
      <c r="L11" s="351"/>
      <c r="M11" s="92">
        <f>1/3</f>
        <v>0.33333333333333331</v>
      </c>
      <c r="N11" s="90"/>
      <c r="O11" s="84"/>
      <c r="P11" s="85"/>
      <c r="Q11" s="351" t="s">
        <v>72</v>
      </c>
      <c r="R11" s="351"/>
      <c r="S11" s="351"/>
      <c r="T11" s="351"/>
      <c r="U11" s="92">
        <f>1/3</f>
        <v>0.33333333333333331</v>
      </c>
      <c r="V11" s="90"/>
      <c r="W11" s="90"/>
    </row>
    <row r="12" spans="2:25">
      <c r="B12" s="85"/>
      <c r="C12" s="85"/>
      <c r="D12" s="210" t="s">
        <v>58</v>
      </c>
      <c r="E12" s="151">
        <v>44141</v>
      </c>
      <c r="F12" s="90"/>
      <c r="G12" s="84"/>
      <c r="H12" s="85"/>
      <c r="I12" s="84"/>
      <c r="J12" s="84"/>
      <c r="K12" s="84"/>
      <c r="L12" s="84"/>
      <c r="M12" s="84"/>
      <c r="N12" s="90"/>
      <c r="O12" s="84"/>
      <c r="P12" s="85"/>
      <c r="Q12" s="84"/>
      <c r="R12" s="84"/>
      <c r="S12" s="84"/>
      <c r="T12" s="84"/>
      <c r="U12" s="84"/>
      <c r="V12" s="90"/>
      <c r="W12" s="90"/>
    </row>
    <row r="13" spans="2:25">
      <c r="B13" s="85"/>
      <c r="C13" s="85"/>
      <c r="D13" s="210" t="s">
        <v>210</v>
      </c>
      <c r="E13" s="151">
        <v>43909</v>
      </c>
      <c r="F13" s="90"/>
      <c r="G13" s="84"/>
      <c r="H13" s="85"/>
      <c r="I13" s="84"/>
      <c r="J13" s="84"/>
      <c r="K13" s="370" t="s">
        <v>91</v>
      </c>
      <c r="L13" s="372"/>
      <c r="M13" s="84"/>
      <c r="N13" s="90"/>
      <c r="O13" s="84"/>
      <c r="P13" s="85"/>
      <c r="Q13" s="205" t="s">
        <v>75</v>
      </c>
      <c r="R13" s="205" t="s">
        <v>85</v>
      </c>
      <c r="S13" s="205" t="s">
        <v>208</v>
      </c>
      <c r="T13" s="95" t="s">
        <v>87</v>
      </c>
      <c r="U13" s="95" t="s">
        <v>88</v>
      </c>
      <c r="V13" s="90"/>
      <c r="W13" s="90"/>
    </row>
    <row r="14" spans="2:25" ht="15" customHeight="1">
      <c r="B14" s="85"/>
      <c r="C14" s="85"/>
      <c r="D14" s="210" t="s">
        <v>218</v>
      </c>
      <c r="E14" s="151">
        <v>44053</v>
      </c>
      <c r="F14" s="90"/>
      <c r="G14" s="84"/>
      <c r="H14" s="85"/>
      <c r="I14" s="204">
        <v>1</v>
      </c>
      <c r="J14" s="121" t="s">
        <v>138</v>
      </c>
      <c r="K14" s="394" t="s">
        <v>154</v>
      </c>
      <c r="L14" s="394"/>
      <c r="M14" s="209" t="str">
        <f>IF(K14="SI","16,7%","0%")</f>
        <v>16,7%</v>
      </c>
      <c r="N14" s="90"/>
      <c r="O14" s="84"/>
      <c r="P14" s="85"/>
      <c r="Q14" s="122" t="s">
        <v>99</v>
      </c>
      <c r="R14" s="204">
        <v>12</v>
      </c>
      <c r="S14" s="204">
        <v>1152</v>
      </c>
      <c r="T14" s="208">
        <v>640</v>
      </c>
      <c r="U14" s="98">
        <f>+T14/S14</f>
        <v>0.55555555555555558</v>
      </c>
      <c r="V14" s="90"/>
      <c r="W14" s="90"/>
    </row>
    <row r="15" spans="2:25" ht="15" customHeight="1">
      <c r="B15" s="85"/>
      <c r="C15" s="85"/>
      <c r="D15" s="210" t="s">
        <v>59</v>
      </c>
      <c r="E15" s="155">
        <f>IFERROR(E12-E11,"")</f>
        <v>456</v>
      </c>
      <c r="F15" s="90"/>
      <c r="G15" s="84"/>
      <c r="H15" s="85"/>
      <c r="I15" s="204">
        <v>2</v>
      </c>
      <c r="J15" s="121" t="s">
        <v>47</v>
      </c>
      <c r="K15" s="394" t="s">
        <v>154</v>
      </c>
      <c r="L15" s="394"/>
      <c r="M15" s="209" t="str">
        <f>IF(K15="SI","16,7%","0%")</f>
        <v>16,7%</v>
      </c>
      <c r="N15" s="90"/>
      <c r="O15" s="84"/>
      <c r="P15" s="85"/>
      <c r="Q15" s="84"/>
      <c r="R15" s="84"/>
      <c r="S15" s="84"/>
      <c r="T15" s="84"/>
      <c r="U15" s="84"/>
      <c r="V15" s="90"/>
      <c r="W15" s="90"/>
    </row>
    <row r="16" spans="2:25" ht="15" customHeight="1">
      <c r="B16" s="85"/>
      <c r="C16" s="85"/>
      <c r="D16" s="96" t="s">
        <v>21</v>
      </c>
      <c r="E16" s="155">
        <f ca="1">TODAY()-E11</f>
        <v>427</v>
      </c>
      <c r="F16" s="90"/>
      <c r="G16" s="84"/>
      <c r="H16" s="85"/>
      <c r="I16" s="84"/>
      <c r="J16" s="84"/>
      <c r="K16" s="84"/>
      <c r="L16" s="84"/>
      <c r="M16" s="84"/>
      <c r="N16" s="90"/>
      <c r="O16" s="84"/>
      <c r="P16" s="85"/>
      <c r="Q16" s="367" t="s">
        <v>145</v>
      </c>
      <c r="R16" s="367"/>
      <c r="S16" s="203">
        <f>SUM(S14:S15)</f>
        <v>1152</v>
      </c>
      <c r="T16" s="203">
        <f>SUM(T14:T15)</f>
        <v>640</v>
      </c>
      <c r="U16" s="206">
        <f>+(T16/S16)*U11</f>
        <v>0.18518518518518517</v>
      </c>
      <c r="V16" s="123"/>
      <c r="W16" s="90"/>
    </row>
    <row r="17" spans="2:23" ht="15" customHeight="1">
      <c r="B17" s="85"/>
      <c r="C17" s="85"/>
      <c r="D17" s="84"/>
      <c r="E17" s="84"/>
      <c r="F17" s="90"/>
      <c r="G17" s="84"/>
      <c r="H17" s="85"/>
      <c r="I17" s="348" t="s">
        <v>144</v>
      </c>
      <c r="J17" s="348"/>
      <c r="K17" s="348"/>
      <c r="L17" s="349">
        <f>M14+M15</f>
        <v>0.33400000000000002</v>
      </c>
      <c r="M17" s="349"/>
      <c r="N17" s="90"/>
      <c r="O17" s="84"/>
      <c r="P17" s="99"/>
      <c r="Q17" s="100"/>
      <c r="R17" s="100"/>
      <c r="S17" s="100"/>
      <c r="T17" s="100"/>
      <c r="U17" s="100"/>
      <c r="V17" s="101"/>
      <c r="W17" s="90"/>
    </row>
    <row r="18" spans="2:23">
      <c r="B18" s="85"/>
      <c r="C18" s="85"/>
      <c r="D18" s="203" t="s">
        <v>56</v>
      </c>
      <c r="E18" s="206">
        <f ca="1">IFERROR(IF((E16/E15)&gt;100%,100%,(E16/E15)),"")</f>
        <v>0.93640350877192979</v>
      </c>
      <c r="F18" s="90"/>
      <c r="G18" s="84"/>
      <c r="H18" s="99"/>
      <c r="I18" s="100"/>
      <c r="J18" s="100"/>
      <c r="K18" s="100"/>
      <c r="L18" s="100"/>
      <c r="M18" s="100"/>
      <c r="N18" s="101"/>
      <c r="O18" s="84"/>
      <c r="P18" s="84"/>
      <c r="Q18" s="84"/>
      <c r="R18" s="84"/>
      <c r="S18" s="84"/>
      <c r="T18" s="84"/>
      <c r="U18" s="84"/>
      <c r="V18" s="84"/>
      <c r="W18" s="90"/>
    </row>
    <row r="19" spans="2:23">
      <c r="B19" s="85"/>
      <c r="C19" s="99"/>
      <c r="D19" s="100"/>
      <c r="E19" s="100"/>
      <c r="F19" s="101"/>
      <c r="G19" s="84"/>
      <c r="H19" s="84"/>
      <c r="I19" s="84"/>
      <c r="J19" s="84"/>
      <c r="K19" s="84"/>
      <c r="L19" s="84"/>
      <c r="M19" s="84"/>
      <c r="N19" s="84"/>
      <c r="O19" s="84"/>
      <c r="P19" s="81"/>
      <c r="Q19" s="82"/>
      <c r="R19" s="82"/>
      <c r="S19" s="82"/>
      <c r="T19" s="82"/>
      <c r="U19" s="82"/>
      <c r="V19" s="83"/>
      <c r="W19" s="90"/>
    </row>
    <row r="20" spans="2:23">
      <c r="B20" s="85"/>
      <c r="C20" s="84"/>
      <c r="D20" s="84"/>
      <c r="E20" s="84"/>
      <c r="F20" s="84"/>
      <c r="G20" s="84"/>
      <c r="H20" s="81"/>
      <c r="I20" s="82"/>
      <c r="J20" s="82"/>
      <c r="K20" s="82"/>
      <c r="L20" s="82"/>
      <c r="M20" s="82"/>
      <c r="N20" s="83"/>
      <c r="O20" s="84"/>
      <c r="P20" s="85"/>
      <c r="Q20" s="350" t="s">
        <v>386</v>
      </c>
      <c r="R20" s="350"/>
      <c r="S20" s="350"/>
      <c r="T20" s="350"/>
      <c r="U20" s="350"/>
      <c r="V20" s="90"/>
      <c r="W20" s="90"/>
    </row>
    <row r="21" spans="2:23">
      <c r="B21" s="85"/>
      <c r="C21" s="84"/>
      <c r="D21" s="84"/>
      <c r="E21" s="84"/>
      <c r="F21" s="84"/>
      <c r="G21" s="84"/>
      <c r="H21" s="85"/>
      <c r="I21" s="350" t="s">
        <v>383</v>
      </c>
      <c r="J21" s="350"/>
      <c r="K21" s="350"/>
      <c r="L21" s="350"/>
      <c r="M21" s="350"/>
      <c r="N21" s="90"/>
      <c r="O21" s="84"/>
      <c r="P21" s="85"/>
      <c r="Q21" s="84"/>
      <c r="R21" s="84"/>
      <c r="S21" s="84"/>
      <c r="T21" s="84"/>
      <c r="U21" s="84"/>
      <c r="V21" s="90"/>
      <c r="W21" s="90"/>
    </row>
    <row r="22" spans="2:23">
      <c r="B22" s="85"/>
      <c r="C22" s="81"/>
      <c r="D22" s="82"/>
      <c r="E22" s="82"/>
      <c r="F22" s="83"/>
      <c r="G22" s="84"/>
      <c r="H22" s="85"/>
      <c r="I22" s="84"/>
      <c r="J22" s="84"/>
      <c r="K22" s="84"/>
      <c r="L22" s="84"/>
      <c r="M22" s="84"/>
      <c r="N22" s="90"/>
      <c r="O22" s="84"/>
      <c r="P22" s="85"/>
      <c r="Q22" s="351" t="s">
        <v>72</v>
      </c>
      <c r="R22" s="351"/>
      <c r="S22" s="351"/>
      <c r="T22" s="351"/>
      <c r="U22" s="92">
        <f>1/3</f>
        <v>0.33333333333333331</v>
      </c>
      <c r="V22" s="90"/>
      <c r="W22" s="90"/>
    </row>
    <row r="23" spans="2:23">
      <c r="B23" s="85"/>
      <c r="C23" s="85"/>
      <c r="D23" s="350" t="s">
        <v>60</v>
      </c>
      <c r="E23" s="350"/>
      <c r="F23" s="90"/>
      <c r="G23" s="84"/>
      <c r="H23" s="85"/>
      <c r="I23" s="351" t="s">
        <v>72</v>
      </c>
      <c r="J23" s="351"/>
      <c r="K23" s="351"/>
      <c r="L23" s="351"/>
      <c r="M23" s="92">
        <f>1/3</f>
        <v>0.33333333333333331</v>
      </c>
      <c r="N23" s="90"/>
      <c r="O23" s="84"/>
      <c r="P23" s="85"/>
      <c r="Q23" s="84"/>
      <c r="R23" s="84"/>
      <c r="S23" s="84"/>
      <c r="T23" s="84"/>
      <c r="U23" s="84"/>
      <c r="V23" s="90"/>
      <c r="W23" s="90"/>
    </row>
    <row r="24" spans="2:23" ht="15" customHeight="1">
      <c r="B24" s="85"/>
      <c r="C24" s="85"/>
      <c r="D24" s="84"/>
      <c r="E24" s="84"/>
      <c r="F24" s="90"/>
      <c r="G24" s="84"/>
      <c r="H24" s="85"/>
      <c r="I24" s="84"/>
      <c r="J24" s="84"/>
      <c r="K24" s="84"/>
      <c r="L24" s="84"/>
      <c r="M24" s="84"/>
      <c r="N24" s="90"/>
      <c r="O24" s="84"/>
      <c r="P24" s="85"/>
      <c r="Q24" s="306" t="s">
        <v>75</v>
      </c>
      <c r="R24" s="306" t="s">
        <v>85</v>
      </c>
      <c r="S24" s="306" t="s">
        <v>208</v>
      </c>
      <c r="T24" s="95" t="s">
        <v>87</v>
      </c>
      <c r="U24" s="95" t="s">
        <v>88</v>
      </c>
      <c r="V24" s="90"/>
      <c r="W24" s="90"/>
    </row>
    <row r="25" spans="2:23" ht="30">
      <c r="B25" s="85"/>
      <c r="C25" s="85"/>
      <c r="D25" s="204" t="s">
        <v>69</v>
      </c>
      <c r="E25" s="102">
        <f>+E26+E27</f>
        <v>769577416.03999996</v>
      </c>
      <c r="F25" s="90"/>
      <c r="G25" s="84"/>
      <c r="H25" s="85"/>
      <c r="I25" s="205" t="s">
        <v>75</v>
      </c>
      <c r="J25" s="205" t="s">
        <v>85</v>
      </c>
      <c r="K25" s="205" t="s">
        <v>208</v>
      </c>
      <c r="L25" s="95" t="s">
        <v>87</v>
      </c>
      <c r="M25" s="95" t="s">
        <v>88</v>
      </c>
      <c r="N25" s="90"/>
      <c r="O25" s="84"/>
      <c r="P25" s="85"/>
      <c r="Q25" s="304" t="s">
        <v>99</v>
      </c>
      <c r="R25" s="303">
        <v>12</v>
      </c>
      <c r="S25" s="303">
        <v>1248</v>
      </c>
      <c r="T25" s="316">
        <v>256</v>
      </c>
      <c r="U25" s="98">
        <f>+T25/S25</f>
        <v>0.20512820512820512</v>
      </c>
      <c r="V25" s="90"/>
      <c r="W25" s="90"/>
    </row>
    <row r="26" spans="2:23">
      <c r="B26" s="85"/>
      <c r="C26" s="85"/>
      <c r="D26" s="204" t="s">
        <v>220</v>
      </c>
      <c r="E26" s="102">
        <v>515736000.04000002</v>
      </c>
      <c r="F26" s="90"/>
      <c r="G26" s="84"/>
      <c r="H26" s="85"/>
      <c r="I26" s="275" t="s">
        <v>76</v>
      </c>
      <c r="J26" s="275">
        <v>4</v>
      </c>
      <c r="K26" s="275">
        <v>384</v>
      </c>
      <c r="L26" s="279">
        <v>304</v>
      </c>
      <c r="M26" s="98">
        <f>+L26/K26</f>
        <v>0.79166666666666663</v>
      </c>
      <c r="N26" s="90"/>
      <c r="O26" s="84"/>
      <c r="P26" s="85"/>
      <c r="Q26" s="84"/>
      <c r="R26" s="84"/>
      <c r="S26" s="84"/>
      <c r="T26" s="84"/>
      <c r="U26" s="84"/>
      <c r="V26" s="90"/>
      <c r="W26" s="90"/>
    </row>
    <row r="27" spans="2:23" ht="15" customHeight="1">
      <c r="B27" s="85"/>
      <c r="C27" s="85"/>
      <c r="D27" s="204" t="s">
        <v>219</v>
      </c>
      <c r="E27" s="224">
        <v>253841416</v>
      </c>
      <c r="F27" s="90"/>
      <c r="G27" s="84"/>
      <c r="H27" s="85"/>
      <c r="I27" s="275" t="s">
        <v>77</v>
      </c>
      <c r="J27" s="275">
        <v>3</v>
      </c>
      <c r="K27" s="275">
        <v>288</v>
      </c>
      <c r="L27" s="279">
        <v>252</v>
      </c>
      <c r="M27" s="98">
        <f t="shared" ref="M27:M34" si="0">+L27/K27</f>
        <v>0.875</v>
      </c>
      <c r="N27" s="90"/>
      <c r="O27" s="84"/>
      <c r="P27" s="85"/>
      <c r="Q27" s="367" t="s">
        <v>387</v>
      </c>
      <c r="R27" s="367"/>
      <c r="S27" s="305">
        <f>SUM(S25:S26)+S16</f>
        <v>2400</v>
      </c>
      <c r="T27" s="305">
        <f>SUM(T25:T26)+T16</f>
        <v>896</v>
      </c>
      <c r="U27" s="301">
        <f>+(T27/S27)*U22</f>
        <v>0.12444444444444444</v>
      </c>
      <c r="V27" s="123"/>
      <c r="W27" s="90"/>
    </row>
    <row r="28" spans="2:23">
      <c r="B28" s="85"/>
      <c r="C28" s="85"/>
      <c r="D28" s="84"/>
      <c r="E28" s="84"/>
      <c r="F28" s="90"/>
      <c r="G28" s="84"/>
      <c r="H28" s="85"/>
      <c r="I28" s="275" t="s">
        <v>78</v>
      </c>
      <c r="J28" s="275">
        <v>2</v>
      </c>
      <c r="K28" s="275">
        <v>192</v>
      </c>
      <c r="L28" s="279">
        <v>136</v>
      </c>
      <c r="M28" s="98">
        <f t="shared" si="0"/>
        <v>0.70833333333333337</v>
      </c>
      <c r="N28" s="90"/>
      <c r="O28" s="84"/>
      <c r="P28" s="99"/>
      <c r="Q28" s="100"/>
      <c r="R28" s="100"/>
      <c r="S28" s="100"/>
      <c r="T28" s="100"/>
      <c r="U28" s="100"/>
      <c r="V28" s="101"/>
      <c r="W28" s="90"/>
    </row>
    <row r="29" spans="2:23">
      <c r="B29" s="85"/>
      <c r="C29" s="85"/>
      <c r="D29" s="204" t="s">
        <v>61</v>
      </c>
      <c r="E29" s="152">
        <v>8767980</v>
      </c>
      <c r="F29" s="90"/>
      <c r="G29" s="84"/>
      <c r="H29" s="85"/>
      <c r="I29" s="275" t="s">
        <v>79</v>
      </c>
      <c r="J29" s="275">
        <v>4</v>
      </c>
      <c r="K29" s="275">
        <v>384</v>
      </c>
      <c r="L29" s="279">
        <v>320</v>
      </c>
      <c r="M29" s="98">
        <f t="shared" si="0"/>
        <v>0.83333333333333337</v>
      </c>
      <c r="N29" s="90"/>
      <c r="O29" s="84"/>
      <c r="W29" s="90"/>
    </row>
    <row r="30" spans="2:23">
      <c r="B30" s="85"/>
      <c r="C30" s="85"/>
      <c r="D30" s="204" t="s">
        <v>62</v>
      </c>
      <c r="E30" s="152">
        <v>9513455</v>
      </c>
      <c r="F30" s="90"/>
      <c r="G30" s="84"/>
      <c r="H30" s="85"/>
      <c r="I30" s="275" t="s">
        <v>80</v>
      </c>
      <c r="J30" s="275">
        <v>1</v>
      </c>
      <c r="K30" s="275">
        <v>96</v>
      </c>
      <c r="L30" s="279">
        <v>83</v>
      </c>
      <c r="M30" s="98">
        <f t="shared" si="0"/>
        <v>0.86458333333333337</v>
      </c>
      <c r="N30" s="90"/>
      <c r="O30" s="84"/>
      <c r="P30" s="81"/>
      <c r="Q30" s="82"/>
      <c r="R30" s="82"/>
      <c r="S30" s="82"/>
      <c r="T30" s="82"/>
      <c r="U30" s="82"/>
      <c r="V30" s="83"/>
      <c r="W30" s="90"/>
    </row>
    <row r="31" spans="2:23">
      <c r="B31" s="85"/>
      <c r="C31" s="85"/>
      <c r="D31" s="204" t="s">
        <v>63</v>
      </c>
      <c r="E31" s="152">
        <v>32836524</v>
      </c>
      <c r="F31" s="90"/>
      <c r="G31" s="84"/>
      <c r="H31" s="85"/>
      <c r="I31" s="275" t="s">
        <v>81</v>
      </c>
      <c r="J31" s="275">
        <v>2</v>
      </c>
      <c r="K31" s="275">
        <v>192</v>
      </c>
      <c r="L31" s="279">
        <v>113</v>
      </c>
      <c r="M31" s="98">
        <f t="shared" si="0"/>
        <v>0.58854166666666663</v>
      </c>
      <c r="N31" s="90"/>
      <c r="O31" s="84"/>
      <c r="P31" s="85"/>
      <c r="Q31" s="348" t="s">
        <v>89</v>
      </c>
      <c r="R31" s="348"/>
      <c r="S31" s="348"/>
      <c r="T31" s="348"/>
      <c r="U31" s="349">
        <f>+U27+M55+L17</f>
        <v>0.5522036872720103</v>
      </c>
      <c r="V31" s="90"/>
      <c r="W31" s="90"/>
    </row>
    <row r="32" spans="2:23">
      <c r="B32" s="85"/>
      <c r="C32" s="85"/>
      <c r="D32" s="204" t="s">
        <v>64</v>
      </c>
      <c r="E32" s="152">
        <v>123457252</v>
      </c>
      <c r="F32" s="90"/>
      <c r="G32" s="84"/>
      <c r="H32" s="85"/>
      <c r="I32" s="275" t="s">
        <v>82</v>
      </c>
      <c r="J32" s="275">
        <v>1</v>
      </c>
      <c r="K32" s="275">
        <v>96</v>
      </c>
      <c r="L32" s="279">
        <v>94</v>
      </c>
      <c r="M32" s="98">
        <f t="shared" si="0"/>
        <v>0.97916666666666663</v>
      </c>
      <c r="N32" s="90"/>
      <c r="O32" s="84"/>
      <c r="P32" s="85"/>
      <c r="Q32" s="348"/>
      <c r="R32" s="348"/>
      <c r="S32" s="348"/>
      <c r="T32" s="348"/>
      <c r="U32" s="349"/>
      <c r="V32" s="90"/>
      <c r="W32" s="90"/>
    </row>
    <row r="33" spans="1:23">
      <c r="B33" s="85"/>
      <c r="C33" s="85"/>
      <c r="D33" s="204" t="s">
        <v>65</v>
      </c>
      <c r="E33" s="152">
        <v>94544596</v>
      </c>
      <c r="F33" s="90"/>
      <c r="G33" s="84"/>
      <c r="H33" s="85"/>
      <c r="I33" s="275" t="s">
        <v>83</v>
      </c>
      <c r="J33" s="275">
        <v>1</v>
      </c>
      <c r="K33" s="275">
        <v>96</v>
      </c>
      <c r="L33" s="279">
        <v>84</v>
      </c>
      <c r="M33" s="98">
        <f t="shared" si="0"/>
        <v>0.875</v>
      </c>
      <c r="N33" s="90"/>
      <c r="O33" s="84"/>
      <c r="P33" s="99"/>
      <c r="Q33" s="100"/>
      <c r="R33" s="100"/>
      <c r="S33" s="100"/>
      <c r="T33" s="100"/>
      <c r="U33" s="100"/>
      <c r="V33" s="101"/>
      <c r="W33" s="90"/>
    </row>
    <row r="34" spans="1:23">
      <c r="B34" s="85"/>
      <c r="C34" s="85"/>
      <c r="D34" s="204" t="s">
        <v>66</v>
      </c>
      <c r="E34" s="152">
        <v>40691321</v>
      </c>
      <c r="F34" s="90"/>
      <c r="G34" s="84"/>
      <c r="H34" s="85"/>
      <c r="I34" s="275" t="s">
        <v>84</v>
      </c>
      <c r="J34" s="275">
        <v>1</v>
      </c>
      <c r="K34" s="303">
        <v>96</v>
      </c>
      <c r="L34" s="279">
        <v>84</v>
      </c>
      <c r="M34" s="98">
        <f t="shared" si="0"/>
        <v>0.875</v>
      </c>
      <c r="N34" s="90"/>
      <c r="O34" s="84"/>
      <c r="P34" s="84"/>
      <c r="Q34" s="84"/>
      <c r="R34" s="84"/>
      <c r="S34" s="84"/>
      <c r="T34" s="84"/>
      <c r="U34" s="84"/>
      <c r="V34" s="84"/>
      <c r="W34" s="90"/>
    </row>
    <row r="35" spans="1:23">
      <c r="B35" s="85"/>
      <c r="C35" s="85"/>
      <c r="D35" s="204" t="s">
        <v>67</v>
      </c>
      <c r="E35" s="152">
        <v>41303819</v>
      </c>
      <c r="F35" s="90"/>
      <c r="G35" s="84"/>
      <c r="H35" s="85"/>
      <c r="I35" s="84"/>
      <c r="J35" s="84"/>
      <c r="K35" s="84"/>
      <c r="L35" s="84"/>
      <c r="M35" s="286"/>
      <c r="N35" s="90"/>
      <c r="O35" s="84"/>
      <c r="P35" s="81"/>
      <c r="Q35" s="82"/>
      <c r="R35" s="82"/>
      <c r="S35" s="82"/>
      <c r="T35" s="82"/>
      <c r="U35" s="82"/>
      <c r="V35" s="83"/>
      <c r="W35" s="90"/>
    </row>
    <row r="36" spans="1:23" ht="15" customHeight="1">
      <c r="B36" s="85"/>
      <c r="C36" s="85"/>
      <c r="D36" s="204" t="s">
        <v>68</v>
      </c>
      <c r="E36" s="152">
        <v>38936999</v>
      </c>
      <c r="F36" s="90"/>
      <c r="G36" s="84"/>
      <c r="H36" s="85"/>
      <c r="I36" s="367" t="s">
        <v>143</v>
      </c>
      <c r="J36" s="367"/>
      <c r="K36" s="276">
        <f>SUM(K26:K35)</f>
        <v>1824</v>
      </c>
      <c r="L36" s="276">
        <f>SUM(L26:L34)</f>
        <v>1470</v>
      </c>
      <c r="M36" s="277">
        <f>+(L36/K36)*M23</f>
        <v>0.26864035087719296</v>
      </c>
      <c r="N36" s="90"/>
      <c r="O36" s="84"/>
      <c r="P36" s="85"/>
      <c r="Q36" s="348" t="s">
        <v>90</v>
      </c>
      <c r="R36" s="348"/>
      <c r="S36" s="348"/>
      <c r="T36" s="348"/>
      <c r="U36" s="348"/>
      <c r="V36" s="90"/>
      <c r="W36" s="90"/>
    </row>
    <row r="37" spans="1:23" ht="15" customHeight="1">
      <c r="B37" s="85"/>
      <c r="C37" s="85"/>
      <c r="D37" s="204" t="s">
        <v>101</v>
      </c>
      <c r="E37" s="152">
        <v>0</v>
      </c>
      <c r="F37" s="90"/>
      <c r="G37" s="84"/>
      <c r="H37" s="99"/>
      <c r="I37" s="100"/>
      <c r="J37" s="100"/>
      <c r="K37" s="100"/>
      <c r="L37" s="100"/>
      <c r="M37" s="100"/>
      <c r="N37" s="101"/>
      <c r="O37" s="84"/>
      <c r="P37" s="99"/>
      <c r="Q37" s="100"/>
      <c r="R37" s="100"/>
      <c r="S37" s="100"/>
      <c r="T37" s="100"/>
      <c r="U37" s="100"/>
      <c r="V37" s="101"/>
      <c r="W37" s="90"/>
    </row>
    <row r="38" spans="1:23">
      <c r="B38" s="85"/>
      <c r="C38" s="85"/>
      <c r="D38" s="84"/>
      <c r="E38" s="84"/>
      <c r="F38" s="90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90"/>
    </row>
    <row r="39" spans="1:23">
      <c r="A39" s="84"/>
      <c r="B39" s="85"/>
      <c r="C39" s="85"/>
      <c r="D39" s="103" t="s">
        <v>70</v>
      </c>
      <c r="E39" s="104">
        <f>SUM(E29:E37)</f>
        <v>390051946</v>
      </c>
      <c r="F39" s="90"/>
      <c r="G39" s="84"/>
      <c r="H39" s="81"/>
      <c r="I39" s="82"/>
      <c r="J39" s="82"/>
      <c r="K39" s="82"/>
      <c r="L39" s="82"/>
      <c r="M39" s="82"/>
      <c r="N39" s="83"/>
      <c r="P39" s="84"/>
      <c r="Q39" s="84"/>
      <c r="R39" s="84"/>
      <c r="S39" s="84"/>
      <c r="T39" s="84"/>
      <c r="U39" s="84"/>
      <c r="V39" s="84"/>
      <c r="W39" s="90"/>
    </row>
    <row r="40" spans="1:23">
      <c r="A40" s="84"/>
      <c r="B40" s="85"/>
      <c r="C40" s="85"/>
      <c r="D40" s="84"/>
      <c r="E40" s="84"/>
      <c r="F40" s="90"/>
      <c r="G40" s="84"/>
      <c r="H40" s="85"/>
      <c r="I40" s="350" t="s">
        <v>384</v>
      </c>
      <c r="J40" s="350"/>
      <c r="K40" s="350"/>
      <c r="L40" s="350"/>
      <c r="M40" s="350"/>
      <c r="N40" s="90"/>
      <c r="P40" s="81"/>
      <c r="Q40" s="82"/>
      <c r="R40" s="82"/>
      <c r="S40" s="82"/>
      <c r="T40" s="82"/>
      <c r="U40" s="82"/>
      <c r="V40" s="83"/>
      <c r="W40" s="90"/>
    </row>
    <row r="41" spans="1:23">
      <c r="A41" s="84"/>
      <c r="B41" s="85"/>
      <c r="C41" s="167"/>
      <c r="D41" s="203" t="s">
        <v>60</v>
      </c>
      <c r="E41" s="147">
        <f>E39/E25</f>
        <v>0.50683912738380887</v>
      </c>
      <c r="F41" s="140"/>
      <c r="G41" s="84"/>
      <c r="H41" s="85"/>
      <c r="I41" s="84"/>
      <c r="J41" s="84"/>
      <c r="K41" s="84"/>
      <c r="L41" s="84"/>
      <c r="M41" s="84"/>
      <c r="N41" s="90"/>
      <c r="P41" s="85"/>
      <c r="Q41" s="349" t="s">
        <v>369</v>
      </c>
      <c r="R41" s="349"/>
      <c r="S41" s="349"/>
      <c r="T41" s="349"/>
      <c r="U41" s="349"/>
      <c r="V41" s="90"/>
      <c r="W41" s="90"/>
    </row>
    <row r="42" spans="1:23">
      <c r="A42" s="84"/>
      <c r="B42" s="85"/>
      <c r="C42" s="136"/>
      <c r="D42" s="143"/>
      <c r="E42" s="223"/>
      <c r="F42" s="219"/>
      <c r="G42" s="84"/>
      <c r="H42" s="85"/>
      <c r="I42" s="351" t="s">
        <v>72</v>
      </c>
      <c r="J42" s="351"/>
      <c r="K42" s="351"/>
      <c r="L42" s="351"/>
      <c r="M42" s="92">
        <f>1/3</f>
        <v>0.33333333333333331</v>
      </c>
      <c r="N42" s="90"/>
      <c r="P42" s="85"/>
      <c r="Q42" s="302"/>
      <c r="R42" s="302"/>
      <c r="S42" s="302"/>
      <c r="T42" s="302"/>
      <c r="U42" s="84"/>
      <c r="V42" s="311"/>
      <c r="W42" s="90"/>
    </row>
    <row r="43" spans="1:23">
      <c r="A43" s="84"/>
      <c r="B43" s="85"/>
      <c r="C43" s="85"/>
      <c r="D43" s="350" t="s">
        <v>366</v>
      </c>
      <c r="E43" s="350"/>
      <c r="F43" s="90"/>
      <c r="G43" s="84"/>
      <c r="H43" s="85"/>
      <c r="I43" s="84"/>
      <c r="J43" s="84"/>
      <c r="K43" s="84"/>
      <c r="L43" s="84"/>
      <c r="M43" s="84"/>
      <c r="N43" s="90"/>
      <c r="P43" s="85"/>
      <c r="Q43" s="376"/>
      <c r="R43" s="377"/>
      <c r="S43" s="377"/>
      <c r="T43" s="377"/>
      <c r="U43" s="378"/>
      <c r="V43" s="90"/>
      <c r="W43" s="90"/>
    </row>
    <row r="44" spans="1:23" s="247" customFormat="1">
      <c r="A44" s="244"/>
      <c r="B44" s="85"/>
      <c r="C44" s="85"/>
      <c r="D44" s="84"/>
      <c r="E44" s="84"/>
      <c r="F44" s="90"/>
      <c r="G44" s="84"/>
      <c r="H44" s="85"/>
      <c r="I44" s="306" t="s">
        <v>75</v>
      </c>
      <c r="J44" s="306" t="s">
        <v>85</v>
      </c>
      <c r="K44" s="306" t="s">
        <v>208</v>
      </c>
      <c r="L44" s="95" t="s">
        <v>87</v>
      </c>
      <c r="M44" s="95" t="s">
        <v>88</v>
      </c>
      <c r="N44" s="90"/>
      <c r="P44" s="85"/>
      <c r="Q44" s="379"/>
      <c r="R44" s="355"/>
      <c r="S44" s="355"/>
      <c r="T44" s="355"/>
      <c r="U44" s="380"/>
      <c r="V44" s="90"/>
      <c r="W44" s="90"/>
    </row>
    <row r="45" spans="1:23">
      <c r="A45" s="84"/>
      <c r="B45" s="85"/>
      <c r="C45" s="85"/>
      <c r="D45" s="281" t="s">
        <v>57</v>
      </c>
      <c r="E45" s="151">
        <v>43898</v>
      </c>
      <c r="F45" s="90"/>
      <c r="G45" s="84"/>
      <c r="H45" s="85"/>
      <c r="I45" s="303" t="s">
        <v>76</v>
      </c>
      <c r="J45" s="303">
        <v>4</v>
      </c>
      <c r="K45" s="303">
        <v>792</v>
      </c>
      <c r="L45" s="316">
        <v>114</v>
      </c>
      <c r="M45" s="98">
        <f>+L45/K45</f>
        <v>0.14393939393939395</v>
      </c>
      <c r="N45" s="90"/>
      <c r="P45" s="85"/>
      <c r="Q45" s="379"/>
      <c r="R45" s="355"/>
      <c r="S45" s="355"/>
      <c r="T45" s="355"/>
      <c r="U45" s="380"/>
      <c r="V45" s="90"/>
      <c r="W45" s="90"/>
    </row>
    <row r="46" spans="1:23">
      <c r="A46" s="84"/>
      <c r="B46" s="85"/>
      <c r="C46" s="85"/>
      <c r="D46" s="281" t="s">
        <v>367</v>
      </c>
      <c r="E46" s="151">
        <v>44141</v>
      </c>
      <c r="F46" s="90"/>
      <c r="G46" s="84"/>
      <c r="H46" s="85"/>
      <c r="I46" s="303" t="s">
        <v>77</v>
      </c>
      <c r="J46" s="303">
        <v>3</v>
      </c>
      <c r="K46" s="303">
        <v>888</v>
      </c>
      <c r="L46" s="316">
        <v>52</v>
      </c>
      <c r="M46" s="98">
        <f t="shared" ref="M46:M53" si="1">+L46/K46</f>
        <v>5.8558558558558557E-2</v>
      </c>
      <c r="N46" s="90"/>
      <c r="O46" s="84"/>
      <c r="P46" s="85"/>
      <c r="Q46" s="379"/>
      <c r="R46" s="355"/>
      <c r="S46" s="355"/>
      <c r="T46" s="355"/>
      <c r="U46" s="380"/>
      <c r="V46" s="90"/>
      <c r="W46" s="90"/>
    </row>
    <row r="47" spans="1:23">
      <c r="A47" s="84"/>
      <c r="B47" s="85"/>
      <c r="C47" s="85"/>
      <c r="D47" s="281" t="s">
        <v>368</v>
      </c>
      <c r="E47" s="93">
        <v>8</v>
      </c>
      <c r="F47" s="90"/>
      <c r="G47" s="84"/>
      <c r="H47" s="85"/>
      <c r="I47" s="303" t="s">
        <v>78</v>
      </c>
      <c r="J47" s="303">
        <v>2</v>
      </c>
      <c r="K47" s="303">
        <v>690</v>
      </c>
      <c r="L47" s="316">
        <v>46</v>
      </c>
      <c r="M47" s="98">
        <f t="shared" si="1"/>
        <v>6.6666666666666666E-2</v>
      </c>
      <c r="N47" s="90"/>
      <c r="O47" s="84"/>
      <c r="P47" s="85"/>
      <c r="Q47" s="381"/>
      <c r="R47" s="382"/>
      <c r="S47" s="382"/>
      <c r="T47" s="382"/>
      <c r="U47" s="383"/>
      <c r="V47" s="90"/>
      <c r="W47" s="90"/>
    </row>
    <row r="48" spans="1:23">
      <c r="A48" s="84"/>
      <c r="B48" s="85"/>
      <c r="C48" s="99"/>
      <c r="D48" s="100"/>
      <c r="E48" s="100"/>
      <c r="F48" s="101"/>
      <c r="G48" s="84"/>
      <c r="H48" s="85"/>
      <c r="I48" s="303" t="s">
        <v>79</v>
      </c>
      <c r="J48" s="303">
        <v>4</v>
      </c>
      <c r="K48" s="303">
        <v>1380</v>
      </c>
      <c r="L48" s="316">
        <v>88</v>
      </c>
      <c r="M48" s="98">
        <f t="shared" si="1"/>
        <v>6.3768115942028983E-2</v>
      </c>
      <c r="N48" s="90"/>
      <c r="O48" s="84"/>
      <c r="P48" s="99"/>
      <c r="Q48" s="100"/>
      <c r="R48" s="100"/>
      <c r="S48" s="100"/>
      <c r="T48" s="100"/>
      <c r="U48" s="100"/>
      <c r="V48" s="101"/>
      <c r="W48" s="90"/>
    </row>
    <row r="49" spans="1:23">
      <c r="A49" s="84"/>
      <c r="B49" s="85"/>
      <c r="C49" s="84"/>
      <c r="D49" s="84"/>
      <c r="E49" s="84"/>
      <c r="F49" s="84"/>
      <c r="G49" s="84"/>
      <c r="H49" s="85"/>
      <c r="I49" s="303" t="s">
        <v>80</v>
      </c>
      <c r="J49" s="303">
        <v>1</v>
      </c>
      <c r="K49" s="303">
        <v>198</v>
      </c>
      <c r="L49" s="316">
        <v>22</v>
      </c>
      <c r="M49" s="98">
        <f t="shared" si="1"/>
        <v>0.1111111111111111</v>
      </c>
      <c r="N49" s="90"/>
      <c r="O49" s="84"/>
      <c r="P49" s="84"/>
      <c r="Q49" s="84"/>
      <c r="R49" s="84"/>
      <c r="S49" s="84"/>
      <c r="T49" s="84"/>
      <c r="U49" s="84"/>
      <c r="V49" s="84"/>
      <c r="W49" s="90"/>
    </row>
    <row r="50" spans="1:23">
      <c r="A50" s="84"/>
      <c r="B50" s="85"/>
      <c r="C50" s="84"/>
      <c r="D50" s="84"/>
      <c r="E50" s="84"/>
      <c r="F50" s="84"/>
      <c r="G50" s="84"/>
      <c r="H50" s="85"/>
      <c r="I50" s="303" t="s">
        <v>81</v>
      </c>
      <c r="J50" s="303">
        <v>2</v>
      </c>
      <c r="K50" s="303">
        <v>396</v>
      </c>
      <c r="L50" s="316">
        <v>36</v>
      </c>
      <c r="M50" s="98">
        <f t="shared" si="1"/>
        <v>9.0909090909090912E-2</v>
      </c>
      <c r="N50" s="90"/>
      <c r="O50" s="84"/>
      <c r="P50" s="84"/>
      <c r="Q50" s="84"/>
      <c r="R50" s="84"/>
      <c r="S50" s="84"/>
      <c r="T50" s="84"/>
      <c r="U50" s="84"/>
      <c r="V50" s="84"/>
      <c r="W50" s="90"/>
    </row>
    <row r="51" spans="1:23">
      <c r="A51" s="84"/>
      <c r="B51" s="85"/>
      <c r="C51" s="84"/>
      <c r="D51" s="84"/>
      <c r="E51" s="84"/>
      <c r="F51" s="84"/>
      <c r="G51" s="84"/>
      <c r="H51" s="85"/>
      <c r="I51" s="303" t="s">
        <v>82</v>
      </c>
      <c r="J51" s="303">
        <v>1</v>
      </c>
      <c r="K51" s="303">
        <v>198</v>
      </c>
      <c r="L51" s="316">
        <v>26</v>
      </c>
      <c r="M51" s="98">
        <f t="shared" si="1"/>
        <v>0.13131313131313133</v>
      </c>
      <c r="N51" s="90"/>
      <c r="O51" s="84"/>
      <c r="P51" s="84"/>
      <c r="Q51" s="84"/>
      <c r="R51" s="84"/>
      <c r="S51" s="84"/>
      <c r="T51" s="84"/>
      <c r="U51" s="84"/>
      <c r="V51" s="84"/>
      <c r="W51" s="90"/>
    </row>
    <row r="52" spans="1:23">
      <c r="A52" s="84"/>
      <c r="B52" s="85"/>
      <c r="C52" s="84"/>
      <c r="D52" s="84"/>
      <c r="E52" s="84"/>
      <c r="F52" s="84"/>
      <c r="G52" s="84"/>
      <c r="H52" s="85"/>
      <c r="I52" s="303" t="s">
        <v>83</v>
      </c>
      <c r="J52" s="303">
        <v>1</v>
      </c>
      <c r="K52" s="303">
        <v>198</v>
      </c>
      <c r="L52" s="316">
        <v>28</v>
      </c>
      <c r="M52" s="98">
        <f t="shared" si="1"/>
        <v>0.14141414141414141</v>
      </c>
      <c r="N52" s="90"/>
      <c r="O52" s="84"/>
      <c r="P52" s="84"/>
      <c r="Q52" s="84"/>
      <c r="R52" s="84"/>
      <c r="S52" s="84"/>
      <c r="T52" s="84"/>
      <c r="U52" s="84"/>
      <c r="V52" s="84"/>
      <c r="W52" s="90"/>
    </row>
    <row r="53" spans="1:23">
      <c r="A53" s="84"/>
      <c r="B53" s="85"/>
      <c r="C53" s="84"/>
      <c r="D53" s="84"/>
      <c r="E53" s="84"/>
      <c r="F53" s="84"/>
      <c r="G53" s="84"/>
      <c r="H53" s="85"/>
      <c r="I53" s="303" t="s">
        <v>84</v>
      </c>
      <c r="J53" s="303">
        <v>1</v>
      </c>
      <c r="K53" s="303">
        <v>198</v>
      </c>
      <c r="L53" s="316">
        <v>20</v>
      </c>
      <c r="M53" s="98">
        <f t="shared" si="1"/>
        <v>0.10101010101010101</v>
      </c>
      <c r="N53" s="90"/>
      <c r="O53" s="84"/>
      <c r="P53" s="84"/>
      <c r="Q53" s="84"/>
      <c r="R53" s="84"/>
      <c r="S53" s="84"/>
      <c r="T53" s="84"/>
      <c r="U53" s="84"/>
      <c r="V53" s="84"/>
      <c r="W53" s="90"/>
    </row>
    <row r="54" spans="1:23">
      <c r="A54" s="84"/>
      <c r="B54" s="85"/>
      <c r="C54" s="84"/>
      <c r="D54" s="84"/>
      <c r="E54" s="84"/>
      <c r="F54" s="84"/>
      <c r="G54" s="84"/>
      <c r="H54" s="85"/>
      <c r="I54" s="84"/>
      <c r="J54" s="84"/>
      <c r="K54" s="84"/>
      <c r="L54" s="84"/>
      <c r="M54" s="302"/>
      <c r="N54" s="90"/>
      <c r="O54" s="84"/>
      <c r="P54" s="84"/>
      <c r="Q54" s="84"/>
      <c r="R54" s="84"/>
      <c r="S54" s="84"/>
      <c r="T54" s="84"/>
      <c r="U54" s="84"/>
      <c r="V54" s="84"/>
      <c r="W54" s="90"/>
    </row>
    <row r="55" spans="1:23">
      <c r="A55" s="84"/>
      <c r="B55" s="85"/>
      <c r="C55" s="84"/>
      <c r="D55" s="84"/>
      <c r="E55" s="84"/>
      <c r="F55" s="84"/>
      <c r="G55" s="84"/>
      <c r="H55" s="85"/>
      <c r="I55" s="367" t="s">
        <v>388</v>
      </c>
      <c r="J55" s="367"/>
      <c r="K55" s="305">
        <f>SUM(K45:K54)+K36</f>
        <v>6762</v>
      </c>
      <c r="L55" s="305">
        <f>SUM(L45:L54)+L36</f>
        <v>1902</v>
      </c>
      <c r="M55" s="301">
        <f>+(L55/K55)*M42</f>
        <v>9.3759242827565814E-2</v>
      </c>
      <c r="N55" s="90"/>
      <c r="O55" s="84"/>
      <c r="P55" s="84"/>
      <c r="Q55" s="84"/>
      <c r="R55" s="84"/>
      <c r="S55" s="84"/>
      <c r="T55" s="84"/>
      <c r="U55" s="84"/>
      <c r="V55" s="84"/>
      <c r="W55" s="90"/>
    </row>
    <row r="56" spans="1:23">
      <c r="B56" s="85"/>
      <c r="C56" s="106"/>
      <c r="D56" s="191"/>
      <c r="E56" s="238"/>
      <c r="F56" s="106"/>
      <c r="G56" s="84"/>
      <c r="H56" s="99"/>
      <c r="I56" s="100"/>
      <c r="J56" s="100"/>
      <c r="K56" s="100"/>
      <c r="L56" s="100"/>
      <c r="M56" s="100"/>
      <c r="N56" s="101"/>
      <c r="O56" s="84"/>
      <c r="P56" s="84"/>
      <c r="Q56" s="84"/>
      <c r="R56" s="84"/>
      <c r="S56" s="84"/>
      <c r="T56" s="84"/>
      <c r="U56" s="84"/>
      <c r="V56" s="84"/>
      <c r="W56" s="90"/>
    </row>
    <row r="57" spans="1:23">
      <c r="B57" s="85"/>
      <c r="C57" s="106"/>
      <c r="D57" s="191"/>
      <c r="E57" s="238"/>
      <c r="F57" s="106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90"/>
    </row>
    <row r="58" spans="1:23">
      <c r="B58" s="85"/>
      <c r="C58" s="106"/>
      <c r="D58" s="191"/>
      <c r="E58" s="238"/>
      <c r="F58" s="106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90"/>
    </row>
    <row r="59" spans="1:23" ht="30">
      <c r="B59" s="245"/>
      <c r="C59" s="410" t="s">
        <v>222</v>
      </c>
      <c r="D59" s="410"/>
      <c r="E59" s="410"/>
      <c r="F59" s="410"/>
      <c r="G59" s="410" t="s">
        <v>221</v>
      </c>
      <c r="H59" s="410"/>
      <c r="I59" s="410"/>
      <c r="J59" s="232" t="s">
        <v>223</v>
      </c>
      <c r="K59" s="232" t="s">
        <v>224</v>
      </c>
      <c r="L59" s="232" t="s">
        <v>225</v>
      </c>
      <c r="M59" s="232" t="s">
        <v>226</v>
      </c>
      <c r="N59" s="244"/>
      <c r="O59" s="244"/>
      <c r="P59" s="84"/>
      <c r="Q59" s="84"/>
      <c r="R59" s="84"/>
      <c r="S59" s="84"/>
      <c r="T59" s="84"/>
      <c r="U59" s="84"/>
      <c r="V59" s="84"/>
      <c r="W59" s="246"/>
    </row>
    <row r="60" spans="1:23">
      <c r="B60" s="85"/>
      <c r="C60" s="406" t="s">
        <v>235</v>
      </c>
      <c r="D60" s="407"/>
      <c r="E60" s="407"/>
      <c r="F60" s="408"/>
      <c r="G60" s="343" t="s">
        <v>233</v>
      </c>
      <c r="H60" s="343"/>
      <c r="I60" s="343"/>
      <c r="J60" s="225">
        <v>6640</v>
      </c>
      <c r="K60" s="237">
        <v>4634</v>
      </c>
      <c r="L60" s="228">
        <v>0.83</v>
      </c>
      <c r="M60" s="228">
        <v>0.57899999999999996</v>
      </c>
      <c r="N60" s="84"/>
      <c r="O60" s="84"/>
      <c r="P60" s="84"/>
      <c r="Q60" s="84"/>
      <c r="R60" s="84"/>
      <c r="S60" s="84"/>
      <c r="T60" s="84"/>
      <c r="U60" s="84"/>
      <c r="V60" s="84"/>
      <c r="W60" s="90"/>
    </row>
    <row r="61" spans="1:23">
      <c r="B61" s="85"/>
      <c r="C61" s="406" t="s">
        <v>236</v>
      </c>
      <c r="D61" s="407"/>
      <c r="E61" s="407"/>
      <c r="F61" s="408"/>
      <c r="G61" s="343"/>
      <c r="H61" s="343"/>
      <c r="I61" s="343"/>
      <c r="J61" s="225">
        <v>7</v>
      </c>
      <c r="K61" s="233">
        <v>7</v>
      </c>
      <c r="L61" s="228">
        <v>0.875</v>
      </c>
      <c r="M61" s="228">
        <v>0.875</v>
      </c>
      <c r="N61" s="84"/>
      <c r="O61" s="84"/>
      <c r="P61" s="244"/>
      <c r="Q61" s="244"/>
      <c r="R61" s="244"/>
      <c r="S61" s="244"/>
      <c r="T61" s="244"/>
      <c r="U61" s="244"/>
      <c r="V61" s="244"/>
      <c r="W61" s="90"/>
    </row>
    <row r="62" spans="1:23">
      <c r="B62" s="99"/>
      <c r="C62" s="100"/>
      <c r="D62" s="143"/>
      <c r="E62" s="223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1"/>
    </row>
    <row r="63" spans="1:23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W63" s="84"/>
    </row>
    <row r="64" spans="1:23">
      <c r="C64" s="84"/>
      <c r="D64" s="84"/>
      <c r="E64" s="84"/>
      <c r="F64" s="84"/>
      <c r="G64" s="84"/>
      <c r="H64" s="84"/>
      <c r="I64" s="84"/>
    </row>
    <row r="65" spans="3:8">
      <c r="C65" s="84"/>
      <c r="D65" s="84"/>
      <c r="E65" s="239"/>
      <c r="F65" s="84"/>
      <c r="G65" s="84"/>
      <c r="H65" s="84"/>
    </row>
    <row r="66" spans="3:8">
      <c r="C66" s="84"/>
      <c r="D66" s="84"/>
      <c r="E66" s="84"/>
      <c r="F66" s="84"/>
      <c r="G66" s="84"/>
      <c r="H66" s="84"/>
    </row>
    <row r="67" spans="3:8">
      <c r="C67" s="84"/>
      <c r="D67" s="84"/>
      <c r="E67" s="84"/>
      <c r="F67" s="84"/>
    </row>
    <row r="68" spans="3:8">
      <c r="D68" s="84"/>
      <c r="E68" s="84"/>
    </row>
  </sheetData>
  <sheetProtection selectLockedCells="1" selectUnlockedCells="1"/>
  <mergeCells count="34">
    <mergeCell ref="Q31:T32"/>
    <mergeCell ref="U31:U32"/>
    <mergeCell ref="Q36:U36"/>
    <mergeCell ref="Q41:U41"/>
    <mergeCell ref="Q43:U47"/>
    <mergeCell ref="I40:M40"/>
    <mergeCell ref="I42:L42"/>
    <mergeCell ref="I55:J55"/>
    <mergeCell ref="D43:E43"/>
    <mergeCell ref="C59:F59"/>
    <mergeCell ref="G59:I59"/>
    <mergeCell ref="C60:F60"/>
    <mergeCell ref="G60:I61"/>
    <mergeCell ref="C61:F61"/>
    <mergeCell ref="I36:J36"/>
    <mergeCell ref="Q9:U9"/>
    <mergeCell ref="Q11:T11"/>
    <mergeCell ref="K15:L15"/>
    <mergeCell ref="I21:M21"/>
    <mergeCell ref="I9:M9"/>
    <mergeCell ref="I11:L11"/>
    <mergeCell ref="K13:L13"/>
    <mergeCell ref="K14:L14"/>
    <mergeCell ref="I17:K17"/>
    <mergeCell ref="I23:L23"/>
    <mergeCell ref="Q20:U20"/>
    <mergeCell ref="Q22:T22"/>
    <mergeCell ref="Q27:R27"/>
    <mergeCell ref="D23:E23"/>
    <mergeCell ref="D9:E9"/>
    <mergeCell ref="C3:F6"/>
    <mergeCell ref="G3:V6"/>
    <mergeCell ref="L17:M17"/>
    <mergeCell ref="Q16:R16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AD56CCB757444A12557F4ADD0C7C4" ma:contentTypeVersion="9" ma:contentTypeDescription="Crear nuevo documento." ma:contentTypeScope="" ma:versionID="6f22f0a7e40ab44e1cb0d142ff56a82c">
  <xsd:schema xmlns:xsd="http://www.w3.org/2001/XMLSchema" xmlns:xs="http://www.w3.org/2001/XMLSchema" xmlns:p="http://schemas.microsoft.com/office/2006/metadata/properties" xmlns:ns3="0462d347-27ba-4769-9d15-926349995ec5" targetNamespace="http://schemas.microsoft.com/office/2006/metadata/properties" ma:root="true" ma:fieldsID="aac97391f6c772f96ecc683276e120d3" ns3:_="">
    <xsd:import namespace="0462d347-27ba-4769-9d15-926349995e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2d347-27ba-4769-9d15-926349995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500D4-968C-42B6-B8D8-EE6079CA9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62d347-27ba-4769-9d15-926349995e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827780-D80E-4705-90B7-F7BD0B7CC7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462d347-27ba-4769-9d15-926349995e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B57EDE0-EC9B-4199-AA10-5AB557196C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GRAFICAS</vt:lpstr>
      <vt:lpstr>RESUMEN FUNCIONAMIENTO</vt:lpstr>
      <vt:lpstr>RESUMEN INVERSIÓN</vt:lpstr>
      <vt:lpstr>AMBIENTE - 2018</vt:lpstr>
      <vt:lpstr>AYUDAS TECNICAS - 2019</vt:lpstr>
      <vt:lpstr>BUEN TRATO- 2018</vt:lpstr>
      <vt:lpstr>BUEN TRATO 2019</vt:lpstr>
      <vt:lpstr>CULTURA - 2019</vt:lpstr>
      <vt:lpstr>DEPORTES - 2019</vt:lpstr>
      <vt:lpstr>EDUCACIÓN - 2019</vt:lpstr>
      <vt:lpstr>MALLA VIAL - 2018</vt:lpstr>
      <vt:lpstr>OBRA - 2019</vt:lpstr>
      <vt:lpstr>PARQUES - 2019</vt:lpstr>
      <vt:lpstr>PARTICIPACION  - 2019</vt:lpstr>
      <vt:lpstr>SEGURIDAD 2019</vt:lpstr>
      <vt:lpstr>DOTACIÓN JARDINES 2019</vt:lpstr>
      <vt:lpstr>ETB-2020</vt:lpstr>
      <vt:lpstr>CPS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Alfonso Montealegre Herrera</dc:creator>
  <cp:lastModifiedBy>Oscar Alfonso Montealegre Herrera</cp:lastModifiedBy>
  <dcterms:created xsi:type="dcterms:W3CDTF">2019-05-30T13:06:22Z</dcterms:created>
  <dcterms:modified xsi:type="dcterms:W3CDTF">2020-10-08T11:59:40Z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0x01010097FAD56CCB757444A12557F4ADD0C7C4</vt:lpwstr>
  </property>
</Properties>
</file>